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AF278BD5-9E80-3A41-911D-2898E4C09E34}" xr6:coauthVersionLast="47" xr6:coauthVersionMax="47" xr10:uidLastSave="{00000000-0000-0000-0000-000000000000}"/>
  <bookViews>
    <workbookView xWindow="5280" yWindow="1340" windowWidth="29040" windowHeight="24120" tabRatio="827" xr2:uid="{00000000-000D-0000-FFFF-FFFF00000000}"/>
  </bookViews>
  <sheets>
    <sheet name="Read Me" sheetId="17" r:id="rId1"/>
    <sheet name="10-9-2015 prices sources" sheetId="18" state="hidden" r:id="rId2"/>
    <sheet name="Step 1 - Feed Cost Input Sheet " sheetId="16" r:id="rId3"/>
    <sheet name="Heifer Development" sheetId="14" r:id="rId4"/>
    <sheet name="Beef Cow Only" sheetId="9" r:id="rId5"/>
    <sheet name="Background Nov-Feb" sheetId="2" r:id="rId6"/>
    <sheet name="Finish Steers" sheetId="3" r:id="rId7"/>
    <sheet name="Background Yearlings 750-1100#" sheetId="10" r:id="rId8"/>
    <sheet name="Finish Yearlings 1100-1400" sheetId="11" r:id="rId9"/>
    <sheet name="Contact" sheetId="20" r:id="rId10"/>
  </sheets>
  <definedNames>
    <definedName name="_xlnm.Print_Area" localSheetId="5">'Background Nov-Feb'!$A$49:$I$132</definedName>
    <definedName name="_xlnm.Print_Area" localSheetId="7">'Background Yearlings 750-1100#'!$A$45:$I$124</definedName>
    <definedName name="_xlnm.Print_Area" localSheetId="4">'Beef Cow Only'!$A$49:$I$121</definedName>
    <definedName name="_xlnm.Print_Area" localSheetId="9">Contact!$A$2:$N$21</definedName>
    <definedName name="_xlnm.Print_Area" localSheetId="6">'Finish Steers'!$A$43:$I$122</definedName>
    <definedName name="_xlnm.Print_Area" localSheetId="8">'Finish Yearlings 1100-1400'!$A$43:$I$124</definedName>
    <definedName name="_xlnm.Print_Area" localSheetId="3">'Heifer Development'!$A$64:$I$112</definedName>
    <definedName name="_xlnm.Print_Area" localSheetId="0">'Read Me'!$A$1:$J$26</definedName>
    <definedName name="_xlnm.Print_Area" localSheetId="2">'Step 1 - Feed Cost Input Sheet '!$A$1:$H$38</definedName>
    <definedName name="Print_Area_MI" localSheetId="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" i="11" l="1"/>
  <c r="C68" i="11"/>
  <c r="E68" i="11"/>
  <c r="G68" i="11"/>
  <c r="H68" i="11"/>
  <c r="C69" i="11"/>
  <c r="E69" i="11"/>
  <c r="G69" i="11"/>
  <c r="H69" i="11"/>
  <c r="C70" i="11"/>
  <c r="E70" i="11"/>
  <c r="G70" i="11"/>
  <c r="H70" i="11"/>
  <c r="C71" i="11"/>
  <c r="E71" i="11"/>
  <c r="G71" i="11"/>
  <c r="H71" i="11"/>
  <c r="C37" i="11"/>
  <c r="H37" i="11"/>
  <c r="C38" i="11"/>
  <c r="H38" i="11"/>
  <c r="C39" i="11"/>
  <c r="H39" i="11"/>
  <c r="C40" i="11"/>
  <c r="G40" i="11"/>
  <c r="H40" i="11"/>
  <c r="I60" i="10"/>
  <c r="C70" i="10"/>
  <c r="E70" i="10"/>
  <c r="G70" i="10"/>
  <c r="H70" i="10"/>
  <c r="C71" i="10"/>
  <c r="E71" i="10"/>
  <c r="G71" i="10"/>
  <c r="H71" i="10"/>
  <c r="C72" i="10"/>
  <c r="E72" i="10"/>
  <c r="G72" i="10"/>
  <c r="H72" i="10"/>
  <c r="C73" i="10"/>
  <c r="E73" i="10"/>
  <c r="G73" i="10"/>
  <c r="H73" i="10"/>
  <c r="I59" i="3"/>
  <c r="I64" i="2"/>
  <c r="C39" i="10"/>
  <c r="H39" i="10"/>
  <c r="C40" i="10"/>
  <c r="H40" i="10"/>
  <c r="C41" i="10"/>
  <c r="H41" i="10"/>
  <c r="C42" i="10"/>
  <c r="H42" i="10"/>
  <c r="C69" i="3"/>
  <c r="E69" i="3"/>
  <c r="G69" i="3"/>
  <c r="H69" i="3"/>
  <c r="C70" i="3"/>
  <c r="E70" i="3"/>
  <c r="G70" i="3"/>
  <c r="H70" i="3" s="1"/>
  <c r="C71" i="3"/>
  <c r="E71" i="3"/>
  <c r="G71" i="3"/>
  <c r="H71" i="3"/>
  <c r="C72" i="3"/>
  <c r="E72" i="3"/>
  <c r="G72" i="3"/>
  <c r="H72" i="3"/>
  <c r="B37" i="3"/>
  <c r="H37" i="3"/>
  <c r="B38" i="3"/>
  <c r="H38" i="3"/>
  <c r="B39" i="3"/>
  <c r="H39" i="3"/>
  <c r="B40" i="3"/>
  <c r="H40" i="3"/>
  <c r="E74" i="2"/>
  <c r="G74" i="2"/>
  <c r="H74" i="2" s="1"/>
  <c r="E75" i="2"/>
  <c r="G75" i="2"/>
  <c r="H75" i="2"/>
  <c r="E76" i="2"/>
  <c r="H76" i="2" s="1"/>
  <c r="G76" i="2"/>
  <c r="E77" i="2"/>
  <c r="B43" i="2"/>
  <c r="C74" i="2" s="1"/>
  <c r="G43" i="2"/>
  <c r="H43" i="2"/>
  <c r="B44" i="2"/>
  <c r="C75" i="2" s="1"/>
  <c r="G44" i="2"/>
  <c r="H44" i="2"/>
  <c r="B45" i="2"/>
  <c r="C76" i="2" s="1"/>
  <c r="G45" i="2"/>
  <c r="H45" i="2"/>
  <c r="B46" i="2"/>
  <c r="C77" i="2" s="1"/>
  <c r="G46" i="2"/>
  <c r="H46" i="2"/>
  <c r="G77" i="2" s="1"/>
  <c r="H77" i="2" s="1"/>
  <c r="H43" i="9"/>
  <c r="G66" i="9" s="1"/>
  <c r="H44" i="9"/>
  <c r="G67" i="9" s="1"/>
  <c r="H45" i="9"/>
  <c r="G68" i="9" s="1"/>
  <c r="H46" i="9"/>
  <c r="G69" i="9" s="1"/>
  <c r="B43" i="9"/>
  <c r="C66" i="9" s="1"/>
  <c r="B44" i="9"/>
  <c r="C67" i="9" s="1"/>
  <c r="B45" i="9"/>
  <c r="C68" i="9" s="1"/>
  <c r="B46" i="9"/>
  <c r="C69" i="9" s="1"/>
  <c r="I106" i="14"/>
  <c r="G85" i="14"/>
  <c r="H106" i="14" s="1"/>
  <c r="E85" i="14"/>
  <c r="C85" i="14"/>
  <c r="G61" i="14"/>
  <c r="H85" i="14"/>
  <c r="E82" i="14"/>
  <c r="E83" i="14"/>
  <c r="E84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B57" i="14"/>
  <c r="B58" i="14"/>
  <c r="B59" i="14"/>
  <c r="B60" i="14"/>
  <c r="B61" i="14"/>
  <c r="H48" i="14"/>
  <c r="H42" i="14"/>
  <c r="G82" i="14" s="1"/>
  <c r="H43" i="14"/>
  <c r="G83" i="14" s="1"/>
  <c r="H44" i="14"/>
  <c r="G84" i="14" s="1"/>
  <c r="H84" i="14" s="1"/>
  <c r="B41" i="14"/>
  <c r="C81" i="14" s="1"/>
  <c r="B42" i="14"/>
  <c r="C82" i="14" s="1"/>
  <c r="B43" i="14"/>
  <c r="C83" i="14" s="1"/>
  <c r="B44" i="14"/>
  <c r="C84" i="14" s="1"/>
  <c r="H33" i="14"/>
  <c r="G73" i="14" s="1"/>
  <c r="H34" i="14"/>
  <c r="G74" i="14" s="1"/>
  <c r="H35" i="14"/>
  <c r="G75" i="14" s="1"/>
  <c r="H36" i="14"/>
  <c r="G76" i="14" s="1"/>
  <c r="H37" i="14"/>
  <c r="H38" i="14"/>
  <c r="G78" i="14" s="1"/>
  <c r="H39" i="14"/>
  <c r="G79" i="14" s="1"/>
  <c r="H40" i="14"/>
  <c r="G80" i="14" s="1"/>
  <c r="H41" i="14"/>
  <c r="H32" i="14"/>
  <c r="G72" i="14" s="1"/>
  <c r="I95" i="14"/>
  <c r="I91" i="14"/>
  <c r="I90" i="14"/>
  <c r="I89" i="14"/>
  <c r="I88" i="14"/>
  <c r="I87" i="14"/>
  <c r="E81" i="14"/>
  <c r="G36" i="2"/>
  <c r="E67" i="2" s="1"/>
  <c r="H36" i="2"/>
  <c r="G67" i="2" s="1"/>
  <c r="G42" i="2"/>
  <c r="E73" i="2"/>
  <c r="H42" i="2"/>
  <c r="G73" i="2" s="1"/>
  <c r="G39" i="2"/>
  <c r="E70" i="2" s="1"/>
  <c r="H39" i="2"/>
  <c r="G70" i="2" s="1"/>
  <c r="G40" i="2"/>
  <c r="E71" i="2" s="1"/>
  <c r="H40" i="2"/>
  <c r="G71" i="2" s="1"/>
  <c r="H34" i="2"/>
  <c r="G65" i="2" s="1"/>
  <c r="G34" i="2"/>
  <c r="E65" i="2" s="1"/>
  <c r="G35" i="2"/>
  <c r="E66" i="2" s="1"/>
  <c r="H35" i="2"/>
  <c r="G66" i="2" s="1"/>
  <c r="G37" i="2"/>
  <c r="E68" i="2" s="1"/>
  <c r="H37" i="2"/>
  <c r="G68" i="2" s="1"/>
  <c r="G38" i="2"/>
  <c r="E69" i="2" s="1"/>
  <c r="H38" i="2"/>
  <c r="G69" i="2" s="1"/>
  <c r="G41" i="2"/>
  <c r="E72" i="2" s="1"/>
  <c r="H41" i="2"/>
  <c r="G72" i="2" s="1"/>
  <c r="G47" i="2"/>
  <c r="E78" i="2" s="1"/>
  <c r="H47" i="2"/>
  <c r="G78" i="2" s="1"/>
  <c r="A48" i="11"/>
  <c r="I78" i="11"/>
  <c r="A50" i="10"/>
  <c r="H30" i="10"/>
  <c r="G61" i="10" s="1"/>
  <c r="K17" i="10"/>
  <c r="G31" i="10" s="1"/>
  <c r="E62" i="10" s="1"/>
  <c r="H31" i="10"/>
  <c r="G62" i="10" s="1"/>
  <c r="H32" i="10"/>
  <c r="G63" i="10" s="1"/>
  <c r="H33" i="10"/>
  <c r="G64" i="10" s="1"/>
  <c r="H34" i="10"/>
  <c r="G65" i="10" s="1"/>
  <c r="H35" i="10"/>
  <c r="G66" i="10" s="1"/>
  <c r="H36" i="10"/>
  <c r="G67" i="10" s="1"/>
  <c r="H37" i="10"/>
  <c r="G68" i="10" s="1"/>
  <c r="H38" i="10"/>
  <c r="G69" i="10" s="1"/>
  <c r="H43" i="10"/>
  <c r="G74" i="10" s="1"/>
  <c r="E74" i="10"/>
  <c r="E59" i="10"/>
  <c r="G59" i="10"/>
  <c r="C106" i="10" s="1"/>
  <c r="I75" i="10"/>
  <c r="I76" i="10"/>
  <c r="I77" i="10"/>
  <c r="I78" i="10"/>
  <c r="I79" i="10"/>
  <c r="I80" i="10"/>
  <c r="A49" i="3"/>
  <c r="A54" i="2"/>
  <c r="A54" i="9"/>
  <c r="A69" i="14"/>
  <c r="E53" i="3"/>
  <c r="I53" i="3" s="1"/>
  <c r="G54" i="3" s="1"/>
  <c r="I54" i="3" s="1"/>
  <c r="I55" i="3" s="1"/>
  <c r="G53" i="3"/>
  <c r="E117" i="3" s="1"/>
  <c r="E54" i="3"/>
  <c r="E58" i="3"/>
  <c r="G58" i="3"/>
  <c r="E105" i="3" s="1"/>
  <c r="I58" i="3"/>
  <c r="K17" i="3"/>
  <c r="G29" i="3" s="1"/>
  <c r="E61" i="3" s="1"/>
  <c r="H28" i="3"/>
  <c r="G60" i="3" s="1"/>
  <c r="H29" i="3"/>
  <c r="G61" i="3" s="1"/>
  <c r="H30" i="3"/>
  <c r="G62" i="3" s="1"/>
  <c r="H31" i="3"/>
  <c r="G63" i="3" s="1"/>
  <c r="H32" i="3"/>
  <c r="G64" i="3" s="1"/>
  <c r="H33" i="3"/>
  <c r="G65" i="3" s="1"/>
  <c r="H34" i="3"/>
  <c r="G66" i="3" s="1"/>
  <c r="H35" i="3"/>
  <c r="G67" i="3" s="1"/>
  <c r="H36" i="3"/>
  <c r="G68" i="3" s="1"/>
  <c r="H41" i="3"/>
  <c r="G73" i="3" s="1"/>
  <c r="I74" i="3"/>
  <c r="I75" i="3"/>
  <c r="I76" i="3"/>
  <c r="I77" i="3"/>
  <c r="I16" i="14"/>
  <c r="G96" i="14" s="1"/>
  <c r="G95" i="14"/>
  <c r="E95" i="14"/>
  <c r="E96" i="14"/>
  <c r="K19" i="14"/>
  <c r="G39" i="14" s="1"/>
  <c r="A7" i="9"/>
  <c r="A7" i="2"/>
  <c r="H39" i="9"/>
  <c r="B95" i="9" s="1"/>
  <c r="E58" i="2"/>
  <c r="G58" i="2"/>
  <c r="F117" i="2" s="1"/>
  <c r="E59" i="2"/>
  <c r="E63" i="2"/>
  <c r="G63" i="2"/>
  <c r="I79" i="2"/>
  <c r="I80" i="2"/>
  <c r="I81" i="2"/>
  <c r="I82" i="2"/>
  <c r="I83" i="2"/>
  <c r="I84" i="2"/>
  <c r="I92" i="2"/>
  <c r="I84" i="3"/>
  <c r="H33" i="11"/>
  <c r="G64" i="11" s="1"/>
  <c r="H32" i="11"/>
  <c r="G63" i="11"/>
  <c r="H30" i="11"/>
  <c r="G61" i="11" s="1"/>
  <c r="H31" i="11"/>
  <c r="G62" i="11" s="1"/>
  <c r="H34" i="11"/>
  <c r="G65" i="11" s="1"/>
  <c r="H35" i="11"/>
  <c r="G66" i="11" s="1"/>
  <c r="H36" i="11"/>
  <c r="G67" i="11" s="1"/>
  <c r="G57" i="11"/>
  <c r="C102" i="11" s="1"/>
  <c r="G52" i="11"/>
  <c r="I119" i="11" s="1"/>
  <c r="E54" i="10"/>
  <c r="G54" i="10"/>
  <c r="E55" i="10"/>
  <c r="I88" i="10"/>
  <c r="E52" i="11"/>
  <c r="E53" i="11"/>
  <c r="E57" i="11"/>
  <c r="J17" i="11"/>
  <c r="G34" i="11" s="1"/>
  <c r="E65" i="11" s="1"/>
  <c r="G28" i="11"/>
  <c r="E59" i="11"/>
  <c r="H28" i="11"/>
  <c r="G59" i="11" s="1"/>
  <c r="H29" i="11"/>
  <c r="G60" i="11" s="1"/>
  <c r="G41" i="11"/>
  <c r="E72" i="11" s="1"/>
  <c r="H41" i="11"/>
  <c r="G72" i="11" s="1"/>
  <c r="I73" i="11"/>
  <c r="I74" i="11"/>
  <c r="I75" i="11"/>
  <c r="I76" i="11"/>
  <c r="I77" i="11"/>
  <c r="I86" i="11"/>
  <c r="H38" i="9"/>
  <c r="G61" i="9" s="1"/>
  <c r="H36" i="9"/>
  <c r="G59" i="9" s="1"/>
  <c r="H37" i="9"/>
  <c r="G60" i="9" s="1"/>
  <c r="H40" i="9"/>
  <c r="G63" i="9" s="1"/>
  <c r="H41" i="9"/>
  <c r="G64" i="9" s="1"/>
  <c r="H42" i="9"/>
  <c r="G65" i="9" s="1"/>
  <c r="E97" i="3"/>
  <c r="F97" i="3" s="1"/>
  <c r="B119" i="9"/>
  <c r="B120" i="9" s="1"/>
  <c r="B121" i="9" s="1"/>
  <c r="B109" i="9"/>
  <c r="B108" i="9" s="1"/>
  <c r="B107" i="9" s="1"/>
  <c r="B106" i="9" s="1"/>
  <c r="G43" i="10"/>
  <c r="C8" i="18"/>
  <c r="C5" i="18"/>
  <c r="C4" i="18"/>
  <c r="C3" i="18"/>
  <c r="C6" i="18"/>
  <c r="A7" i="11"/>
  <c r="A7" i="10"/>
  <c r="A7" i="3"/>
  <c r="D56" i="2"/>
  <c r="B51" i="3"/>
  <c r="D51" i="3"/>
  <c r="A7" i="14"/>
  <c r="C41" i="11"/>
  <c r="C72" i="11" s="1"/>
  <c r="C36" i="11"/>
  <c r="C67" i="11" s="1"/>
  <c r="C35" i="11"/>
  <c r="C66" i="11" s="1"/>
  <c r="C34" i="11"/>
  <c r="C65" i="11" s="1"/>
  <c r="C33" i="11"/>
  <c r="C64" i="11" s="1"/>
  <c r="C32" i="11"/>
  <c r="C63" i="11" s="1"/>
  <c r="C31" i="11"/>
  <c r="C62" i="11" s="1"/>
  <c r="C30" i="11"/>
  <c r="C61" i="11" s="1"/>
  <c r="C29" i="11"/>
  <c r="C60" i="11" s="1"/>
  <c r="C28" i="11"/>
  <c r="C59" i="11" s="1"/>
  <c r="C43" i="10"/>
  <c r="C74" i="10" s="1"/>
  <c r="C38" i="10"/>
  <c r="C69" i="10" s="1"/>
  <c r="C37" i="10"/>
  <c r="C68" i="10" s="1"/>
  <c r="C36" i="10"/>
  <c r="C67" i="10" s="1"/>
  <c r="C35" i="10"/>
  <c r="C66" i="10" s="1"/>
  <c r="C34" i="10"/>
  <c r="C65" i="10" s="1"/>
  <c r="C33" i="10"/>
  <c r="C64" i="10" s="1"/>
  <c r="C32" i="10"/>
  <c r="C63" i="10" s="1"/>
  <c r="C31" i="10"/>
  <c r="C62" i="10" s="1"/>
  <c r="C30" i="10"/>
  <c r="C61" i="10" s="1"/>
  <c r="B41" i="3"/>
  <c r="C73" i="3" s="1"/>
  <c r="B36" i="3"/>
  <c r="C68" i="3" s="1"/>
  <c r="B35" i="3"/>
  <c r="C67" i="3" s="1"/>
  <c r="B34" i="3"/>
  <c r="C66" i="3" s="1"/>
  <c r="B33" i="3"/>
  <c r="C65" i="3" s="1"/>
  <c r="B32" i="3"/>
  <c r="C64" i="3" s="1"/>
  <c r="B31" i="3"/>
  <c r="C63" i="3" s="1"/>
  <c r="B30" i="3"/>
  <c r="C62" i="3" s="1"/>
  <c r="B29" i="3"/>
  <c r="C61" i="3" s="1"/>
  <c r="B28" i="3"/>
  <c r="C60" i="3" s="1"/>
  <c r="I75" i="9"/>
  <c r="B47" i="2"/>
  <c r="C78" i="2" s="1"/>
  <c r="B42" i="2"/>
  <c r="C73" i="2" s="1"/>
  <c r="B41" i="2"/>
  <c r="C72" i="2" s="1"/>
  <c r="B40" i="2"/>
  <c r="C71" i="2" s="1"/>
  <c r="B39" i="2"/>
  <c r="C70" i="2" s="1"/>
  <c r="B38" i="2"/>
  <c r="C69" i="2" s="1"/>
  <c r="B37" i="2"/>
  <c r="C68" i="2" s="1"/>
  <c r="B36" i="2"/>
  <c r="C67" i="2" s="1"/>
  <c r="B35" i="2"/>
  <c r="C66" i="2" s="1"/>
  <c r="B34" i="2"/>
  <c r="C65" i="2" s="1"/>
  <c r="H47" i="9"/>
  <c r="G70" i="9" s="1"/>
  <c r="H35" i="9"/>
  <c r="G58" i="9" s="1"/>
  <c r="H34" i="9"/>
  <c r="G57" i="9" s="1"/>
  <c r="B47" i="9"/>
  <c r="C70" i="9" s="1"/>
  <c r="B42" i="9"/>
  <c r="C65" i="9" s="1"/>
  <c r="B41" i="9"/>
  <c r="C64" i="9" s="1"/>
  <c r="B40" i="9"/>
  <c r="C63" i="9" s="1"/>
  <c r="B39" i="9"/>
  <c r="C62" i="9" s="1"/>
  <c r="B38" i="9"/>
  <c r="C61" i="9" s="1"/>
  <c r="B37" i="9"/>
  <c r="C60" i="9" s="1"/>
  <c r="B36" i="9"/>
  <c r="C59" i="9" s="1"/>
  <c r="B35" i="9"/>
  <c r="C58" i="9" s="1"/>
  <c r="B34" i="9"/>
  <c r="C57" i="9" s="1"/>
  <c r="B35" i="14"/>
  <c r="C75" i="14" s="1"/>
  <c r="B56" i="14"/>
  <c r="B55" i="14"/>
  <c r="B54" i="14"/>
  <c r="B53" i="14"/>
  <c r="B52" i="14"/>
  <c r="B51" i="14"/>
  <c r="B50" i="14"/>
  <c r="B49" i="14"/>
  <c r="B48" i="14"/>
  <c r="B40" i="14"/>
  <c r="C80" i="14" s="1"/>
  <c r="B39" i="14"/>
  <c r="C79" i="14" s="1"/>
  <c r="B38" i="14"/>
  <c r="C78" i="14" s="1"/>
  <c r="B37" i="14"/>
  <c r="C77" i="14" s="1"/>
  <c r="B36" i="14"/>
  <c r="C76" i="14" s="1"/>
  <c r="B34" i="14"/>
  <c r="C74" i="14" s="1"/>
  <c r="B33" i="14"/>
  <c r="C73" i="14" s="1"/>
  <c r="B32" i="14"/>
  <c r="C72" i="14" s="1"/>
  <c r="I89" i="9"/>
  <c r="I88" i="9"/>
  <c r="F115" i="9"/>
  <c r="F105" i="9"/>
  <c r="G105" i="9" s="1"/>
  <c r="H105" i="9" s="1"/>
  <c r="I105" i="9" s="1"/>
  <c r="D103" i="9"/>
  <c r="D113" i="9" s="1"/>
  <c r="K20" i="14"/>
  <c r="F95" i="11"/>
  <c r="F92" i="11"/>
  <c r="G84" i="11"/>
  <c r="C50" i="11"/>
  <c r="G50" i="11"/>
  <c r="E50" i="11"/>
  <c r="F97" i="10"/>
  <c r="F94" i="10"/>
  <c r="G86" i="10"/>
  <c r="B52" i="10"/>
  <c r="F52" i="10" s="1"/>
  <c r="D52" i="10"/>
  <c r="G81" i="9"/>
  <c r="E80" i="9"/>
  <c r="E81" i="9" s="1"/>
  <c r="G80" i="9"/>
  <c r="F47" i="9"/>
  <c r="E70" i="9" s="1"/>
  <c r="K21" i="9"/>
  <c r="K20" i="9"/>
  <c r="G41" i="9" s="1"/>
  <c r="E64" i="9" s="1"/>
  <c r="I76" i="9"/>
  <c r="I74" i="9"/>
  <c r="I73" i="9"/>
  <c r="I72" i="9"/>
  <c r="G82" i="3"/>
  <c r="F101" i="2"/>
  <c r="F98" i="2"/>
  <c r="G90" i="2"/>
  <c r="B56" i="2"/>
  <c r="G34" i="9"/>
  <c r="E57" i="9" s="1"/>
  <c r="E119" i="11" l="1"/>
  <c r="G38" i="11"/>
  <c r="G39" i="11"/>
  <c r="G37" i="11"/>
  <c r="H72" i="11"/>
  <c r="G33" i="11"/>
  <c r="E64" i="11" s="1"/>
  <c r="H64" i="11" s="1"/>
  <c r="G36" i="11"/>
  <c r="E67" i="11" s="1"/>
  <c r="H67" i="11" s="1"/>
  <c r="G30" i="11"/>
  <c r="E61" i="11" s="1"/>
  <c r="H61" i="11" s="1"/>
  <c r="G35" i="11"/>
  <c r="E66" i="11" s="1"/>
  <c r="H66" i="11" s="1"/>
  <c r="G32" i="11"/>
  <c r="E63" i="11" s="1"/>
  <c r="H63" i="11" s="1"/>
  <c r="G29" i="11"/>
  <c r="E60" i="11" s="1"/>
  <c r="H60" i="11" s="1"/>
  <c r="H65" i="11"/>
  <c r="G31" i="11"/>
  <c r="E62" i="11" s="1"/>
  <c r="H62" i="11" s="1"/>
  <c r="H59" i="11"/>
  <c r="I59" i="10"/>
  <c r="G30" i="10"/>
  <c r="E61" i="10" s="1"/>
  <c r="G41" i="10"/>
  <c r="C103" i="10"/>
  <c r="C104" i="10"/>
  <c r="G40" i="10"/>
  <c r="G39" i="10"/>
  <c r="G42" i="10"/>
  <c r="C105" i="10"/>
  <c r="E109" i="10"/>
  <c r="H74" i="10"/>
  <c r="E118" i="10"/>
  <c r="G38" i="10"/>
  <c r="E69" i="10" s="1"/>
  <c r="H69" i="10" s="1"/>
  <c r="I54" i="10"/>
  <c r="G55" i="10" s="1"/>
  <c r="I55" i="10" s="1"/>
  <c r="I56" i="10" s="1"/>
  <c r="C102" i="10"/>
  <c r="G34" i="10"/>
  <c r="E65" i="10" s="1"/>
  <c r="H65" i="10" s="1"/>
  <c r="H61" i="10"/>
  <c r="G37" i="10"/>
  <c r="E68" i="10" s="1"/>
  <c r="H68" i="10" s="1"/>
  <c r="G33" i="10"/>
  <c r="E64" i="10" s="1"/>
  <c r="H64" i="10" s="1"/>
  <c r="G36" i="10"/>
  <c r="E67" i="10" s="1"/>
  <c r="H67" i="10" s="1"/>
  <c r="G32" i="10"/>
  <c r="E63" i="10" s="1"/>
  <c r="H63" i="10" s="1"/>
  <c r="H62" i="10"/>
  <c r="G35" i="10"/>
  <c r="E66" i="10" s="1"/>
  <c r="H66" i="10" s="1"/>
  <c r="G40" i="3"/>
  <c r="G39" i="3"/>
  <c r="G38" i="3"/>
  <c r="G37" i="3"/>
  <c r="G28" i="3"/>
  <c r="E60" i="3" s="1"/>
  <c r="G36" i="3"/>
  <c r="E68" i="3" s="1"/>
  <c r="G51" i="3"/>
  <c r="G32" i="3"/>
  <c r="E64" i="3" s="1"/>
  <c r="H64" i="3" s="1"/>
  <c r="G34" i="3"/>
  <c r="E66" i="3" s="1"/>
  <c r="H66" i="3" s="1"/>
  <c r="G30" i="3"/>
  <c r="E62" i="3" s="1"/>
  <c r="H62" i="3" s="1"/>
  <c r="E115" i="3"/>
  <c r="H61" i="3"/>
  <c r="F93" i="3"/>
  <c r="E107" i="3"/>
  <c r="G107" i="3" s="1"/>
  <c r="G35" i="3"/>
  <c r="E67" i="3" s="1"/>
  <c r="H67" i="3" s="1"/>
  <c r="G31" i="3"/>
  <c r="E63" i="3" s="1"/>
  <c r="H63" i="3" s="1"/>
  <c r="B100" i="3"/>
  <c r="B98" i="3" s="1"/>
  <c r="G41" i="3"/>
  <c r="E73" i="3" s="1"/>
  <c r="H73" i="3" s="1"/>
  <c r="G33" i="3"/>
  <c r="E65" i="3" s="1"/>
  <c r="H65" i="3" s="1"/>
  <c r="H68" i="3"/>
  <c r="H60" i="3"/>
  <c r="F90" i="3"/>
  <c r="F56" i="2"/>
  <c r="H67" i="2"/>
  <c r="H70" i="2"/>
  <c r="H72" i="2"/>
  <c r="G106" i="2"/>
  <c r="H71" i="2"/>
  <c r="H69" i="2"/>
  <c r="I63" i="2"/>
  <c r="H68" i="2"/>
  <c r="H65" i="2"/>
  <c r="H78" i="2"/>
  <c r="H66" i="2"/>
  <c r="H73" i="2"/>
  <c r="G46" i="9"/>
  <c r="E69" i="9" s="1"/>
  <c r="H69" i="9" s="1"/>
  <c r="I71" i="9" s="1"/>
  <c r="G45" i="9"/>
  <c r="E68" i="9" s="1"/>
  <c r="H68" i="9" s="1"/>
  <c r="G44" i="9"/>
  <c r="E67" i="9" s="1"/>
  <c r="H67" i="9" s="1"/>
  <c r="G43" i="9"/>
  <c r="E66" i="9" s="1"/>
  <c r="H66" i="9" s="1"/>
  <c r="I81" i="9"/>
  <c r="I80" i="9"/>
  <c r="B118" i="9"/>
  <c r="B117" i="9" s="1"/>
  <c r="B116" i="9" s="1"/>
  <c r="B96" i="9"/>
  <c r="B97" i="9" s="1"/>
  <c r="B98" i="9" s="1"/>
  <c r="B99" i="9" s="1"/>
  <c r="B100" i="9" s="1"/>
  <c r="G42" i="9"/>
  <c r="E65" i="9" s="1"/>
  <c r="H65" i="9" s="1"/>
  <c r="H64" i="9"/>
  <c r="G35" i="9"/>
  <c r="E58" i="9" s="1"/>
  <c r="H58" i="9" s="1"/>
  <c r="G39" i="9"/>
  <c r="E62" i="9" s="1"/>
  <c r="B110" i="9"/>
  <c r="B111" i="9" s="1"/>
  <c r="G40" i="9"/>
  <c r="E63" i="9" s="1"/>
  <c r="H63" i="9" s="1"/>
  <c r="H57" i="9"/>
  <c r="G38" i="9"/>
  <c r="E61" i="9" s="1"/>
  <c r="H61" i="9" s="1"/>
  <c r="G36" i="9"/>
  <c r="E59" i="9" s="1"/>
  <c r="H59" i="9" s="1"/>
  <c r="G37" i="9"/>
  <c r="E60" i="9" s="1"/>
  <c r="H60" i="9" s="1"/>
  <c r="H70" i="9"/>
  <c r="I83" i="9"/>
  <c r="I90" i="9"/>
  <c r="D106" i="14"/>
  <c r="C106" i="14"/>
  <c r="E106" i="14"/>
  <c r="F106" i="14"/>
  <c r="G106" i="14"/>
  <c r="H83" i="14"/>
  <c r="H82" i="14"/>
  <c r="G58" i="14"/>
  <c r="G60" i="14"/>
  <c r="G59" i="14"/>
  <c r="G57" i="14"/>
  <c r="G44" i="14"/>
  <c r="G43" i="14"/>
  <c r="G41" i="14"/>
  <c r="G42" i="14"/>
  <c r="I98" i="14"/>
  <c r="G40" i="14"/>
  <c r="G52" i="14"/>
  <c r="G34" i="14"/>
  <c r="G53" i="14"/>
  <c r="G35" i="14"/>
  <c r="G49" i="14"/>
  <c r="G32" i="14"/>
  <c r="G51" i="14"/>
  <c r="G33" i="14"/>
  <c r="G54" i="14"/>
  <c r="G36" i="14"/>
  <c r="G55" i="14"/>
  <c r="E79" i="14" s="1"/>
  <c r="H79" i="14" s="1"/>
  <c r="G48" i="14"/>
  <c r="G37" i="14"/>
  <c r="G56" i="14"/>
  <c r="G50" i="14"/>
  <c r="G38" i="14"/>
  <c r="D94" i="9"/>
  <c r="G62" i="9"/>
  <c r="G81" i="14"/>
  <c r="H81" i="14" s="1"/>
  <c r="G77" i="14"/>
  <c r="B108" i="14"/>
  <c r="B109" i="14" s="1"/>
  <c r="B110" i="14" s="1"/>
  <c r="B111" i="14" s="1"/>
  <c r="B112" i="14" s="1"/>
  <c r="B107" i="14"/>
  <c r="E115" i="9"/>
  <c r="D115" i="9" s="1"/>
  <c r="C115" i="9" s="1"/>
  <c r="G115" i="9"/>
  <c r="H115" i="9" s="1"/>
  <c r="I115" i="9" s="1"/>
  <c r="E107" i="11"/>
  <c r="D119" i="10"/>
  <c r="D106" i="2"/>
  <c r="D98" i="11"/>
  <c r="F119" i="11"/>
  <c r="I109" i="11"/>
  <c r="D119" i="11"/>
  <c r="E98" i="11"/>
  <c r="G98" i="11"/>
  <c r="F109" i="11"/>
  <c r="H109" i="11"/>
  <c r="I52" i="11"/>
  <c r="E109" i="11"/>
  <c r="D109" i="11"/>
  <c r="H98" i="11"/>
  <c r="I98" i="11" s="1"/>
  <c r="G109" i="11"/>
  <c r="G119" i="11"/>
  <c r="H119" i="11"/>
  <c r="F98" i="11"/>
  <c r="E117" i="11"/>
  <c r="C103" i="11"/>
  <c r="I57" i="11"/>
  <c r="C99" i="11"/>
  <c r="C100" i="11"/>
  <c r="C101" i="11"/>
  <c r="F101" i="10"/>
  <c r="E101" i="10"/>
  <c r="F110" i="10"/>
  <c r="G119" i="10"/>
  <c r="H101" i="10"/>
  <c r="I101" i="10" s="1"/>
  <c r="H110" i="10"/>
  <c r="I110" i="10"/>
  <c r="E110" i="10"/>
  <c r="I119" i="10"/>
  <c r="G110" i="10"/>
  <c r="H119" i="10"/>
  <c r="E119" i="10"/>
  <c r="F119" i="10"/>
  <c r="D101" i="10"/>
  <c r="D110" i="10"/>
  <c r="G101" i="10"/>
  <c r="F117" i="3"/>
  <c r="G117" i="3" s="1"/>
  <c r="H117" i="3" s="1"/>
  <c r="C117" i="3"/>
  <c r="D117" i="3"/>
  <c r="C97" i="3"/>
  <c r="G97" i="3"/>
  <c r="H97" i="3"/>
  <c r="D97" i="3"/>
  <c r="D127" i="2"/>
  <c r="G127" i="2"/>
  <c r="E106" i="2"/>
  <c r="D117" i="2"/>
  <c r="F106" i="2"/>
  <c r="F127" i="2"/>
  <c r="E127" i="2"/>
  <c r="H117" i="2"/>
  <c r="H127" i="2"/>
  <c r="I117" i="2"/>
  <c r="E117" i="2"/>
  <c r="I127" i="2"/>
  <c r="G117" i="2"/>
  <c r="H106" i="2"/>
  <c r="I106" i="2" s="1"/>
  <c r="I58" i="2"/>
  <c r="C109" i="2"/>
  <c r="E115" i="2"/>
  <c r="C107" i="2"/>
  <c r="C108" i="2"/>
  <c r="C110" i="2"/>
  <c r="E125" i="2"/>
  <c r="C111" i="2"/>
  <c r="E105" i="9"/>
  <c r="D105" i="9" s="1"/>
  <c r="C105" i="9" s="1"/>
  <c r="I79" i="11" l="1"/>
  <c r="I87" i="11" s="1"/>
  <c r="I81" i="10"/>
  <c r="I83" i="10" s="1"/>
  <c r="B102" i="3"/>
  <c r="I78" i="3"/>
  <c r="I83" i="3" s="1"/>
  <c r="B99" i="3"/>
  <c r="D107" i="3"/>
  <c r="H107" i="3"/>
  <c r="F107" i="3"/>
  <c r="C107" i="3"/>
  <c r="B101" i="3"/>
  <c r="I85" i="2"/>
  <c r="I93" i="2" s="1"/>
  <c r="I94" i="9"/>
  <c r="H94" i="9"/>
  <c r="G94" i="9"/>
  <c r="G98" i="9" s="1"/>
  <c r="F94" i="9"/>
  <c r="F96" i="9" s="1"/>
  <c r="E94" i="9"/>
  <c r="C94" i="9"/>
  <c r="H62" i="9"/>
  <c r="F95" i="9"/>
  <c r="I97" i="9"/>
  <c r="E97" i="9"/>
  <c r="E100" i="9"/>
  <c r="I95" i="9"/>
  <c r="G100" i="9"/>
  <c r="D99" i="9"/>
  <c r="F97" i="9"/>
  <c r="H95" i="9"/>
  <c r="H98" i="9"/>
  <c r="H99" i="9"/>
  <c r="D97" i="9"/>
  <c r="E98" i="9"/>
  <c r="I96" i="9"/>
  <c r="E99" i="9"/>
  <c r="D100" i="9"/>
  <c r="H97" i="9"/>
  <c r="H100" i="9"/>
  <c r="D98" i="9"/>
  <c r="E95" i="9"/>
  <c r="I98" i="9"/>
  <c r="F100" i="9"/>
  <c r="G99" i="9"/>
  <c r="F98" i="9"/>
  <c r="F99" i="9"/>
  <c r="C96" i="9"/>
  <c r="D96" i="9"/>
  <c r="D95" i="9"/>
  <c r="H96" i="9"/>
  <c r="E96" i="9"/>
  <c r="I100" i="9"/>
  <c r="G96" i="9"/>
  <c r="I99" i="9"/>
  <c r="E73" i="14"/>
  <c r="H73" i="14" s="1"/>
  <c r="E80" i="14"/>
  <c r="H80" i="14" s="1"/>
  <c r="E77" i="14"/>
  <c r="E72" i="14"/>
  <c r="H72" i="14" s="1"/>
  <c r="E78" i="14"/>
  <c r="H78" i="14" s="1"/>
  <c r="E75" i="14"/>
  <c r="H75" i="14" s="1"/>
  <c r="E74" i="14"/>
  <c r="H74" i="14" s="1"/>
  <c r="E76" i="14"/>
  <c r="H76" i="14" s="1"/>
  <c r="C95" i="9"/>
  <c r="G53" i="11"/>
  <c r="I53" i="11" s="1"/>
  <c r="I54" i="11" s="1"/>
  <c r="I81" i="11" s="1"/>
  <c r="G59" i="2"/>
  <c r="I59" i="2" s="1"/>
  <c r="I60" i="2" s="1"/>
  <c r="I85" i="11" l="1"/>
  <c r="G102" i="11" s="1"/>
  <c r="I87" i="10"/>
  <c r="I89" i="10"/>
  <c r="I104" i="10" s="1"/>
  <c r="I79" i="3"/>
  <c r="I85" i="3"/>
  <c r="C100" i="3" s="1"/>
  <c r="I87" i="2"/>
  <c r="I91" i="2"/>
  <c r="G110" i="2" s="1"/>
  <c r="I77" i="9"/>
  <c r="I82" i="9"/>
  <c r="G97" i="9"/>
  <c r="G95" i="9"/>
  <c r="C98" i="9"/>
  <c r="C97" i="9"/>
  <c r="C100" i="9"/>
  <c r="C99" i="9"/>
  <c r="H77" i="14"/>
  <c r="I86" i="14" s="1"/>
  <c r="I97" i="14" s="1"/>
  <c r="I111" i="14"/>
  <c r="G110" i="14"/>
  <c r="E109" i="14"/>
  <c r="C112" i="14"/>
  <c r="I110" i="14"/>
  <c r="G109" i="14"/>
  <c r="E108" i="14"/>
  <c r="C111" i="14"/>
  <c r="D108" i="14"/>
  <c r="G107" i="14"/>
  <c r="E110" i="14"/>
  <c r="I109" i="14"/>
  <c r="G108" i="14"/>
  <c r="E107" i="14"/>
  <c r="C110" i="14"/>
  <c r="D110" i="14"/>
  <c r="D109" i="14"/>
  <c r="F108" i="14"/>
  <c r="F107" i="14"/>
  <c r="H108" i="14"/>
  <c r="E111" i="14"/>
  <c r="I112" i="14"/>
  <c r="I108" i="14"/>
  <c r="F112" i="14"/>
  <c r="D112" i="14"/>
  <c r="C109" i="14"/>
  <c r="F110" i="14"/>
  <c r="H107" i="14"/>
  <c r="I107" i="14"/>
  <c r="F111" i="14"/>
  <c r="D111" i="14"/>
  <c r="C108" i="14"/>
  <c r="H112" i="14"/>
  <c r="F109" i="14"/>
  <c r="H110" i="14"/>
  <c r="H109" i="14"/>
  <c r="E112" i="14"/>
  <c r="G112" i="14"/>
  <c r="G111" i="14"/>
  <c r="C107" i="14"/>
  <c r="D107" i="14"/>
  <c r="H111" i="14"/>
  <c r="H91" i="11"/>
  <c r="I84" i="9"/>
  <c r="I85" i="9" s="1"/>
  <c r="I89" i="11"/>
  <c r="E110" i="2"/>
  <c r="I110" i="2"/>
  <c r="D108" i="2"/>
  <c r="E107" i="2"/>
  <c r="I111" i="2"/>
  <c r="H108" i="2"/>
  <c r="E108" i="2"/>
  <c r="G106" i="10"/>
  <c r="I102" i="10"/>
  <c r="I106" i="10"/>
  <c r="F104" i="10"/>
  <c r="E104" i="10"/>
  <c r="G105" i="10"/>
  <c r="I88" i="11"/>
  <c r="D100" i="11"/>
  <c r="F103" i="11"/>
  <c r="H103" i="11"/>
  <c r="G101" i="11"/>
  <c r="F102" i="11"/>
  <c r="H102" i="11"/>
  <c r="F101" i="11"/>
  <c r="E102" i="11"/>
  <c r="H94" i="11"/>
  <c r="F100" i="11"/>
  <c r="D103" i="11"/>
  <c r="E100" i="11"/>
  <c r="I103" i="11"/>
  <c r="D99" i="11"/>
  <c r="I100" i="11"/>
  <c r="I99" i="11"/>
  <c r="G93" i="11"/>
  <c r="G100" i="11"/>
  <c r="E101" i="11"/>
  <c r="H101" i="11"/>
  <c r="G103" i="11"/>
  <c r="I102" i="11"/>
  <c r="E103" i="11"/>
  <c r="D101" i="11"/>
  <c r="F99" i="11"/>
  <c r="G99" i="11"/>
  <c r="D102" i="11"/>
  <c r="H99" i="11"/>
  <c r="H100" i="11"/>
  <c r="I101" i="11"/>
  <c r="E99" i="11"/>
  <c r="D104" i="10" l="1"/>
  <c r="F102" i="10"/>
  <c r="I103" i="10"/>
  <c r="E102" i="10"/>
  <c r="F103" i="10"/>
  <c r="E106" i="10"/>
  <c r="H104" i="10"/>
  <c r="F106" i="10"/>
  <c r="I90" i="10"/>
  <c r="H93" i="10" s="1"/>
  <c r="H106" i="10"/>
  <c r="G104" i="10"/>
  <c r="D105" i="10"/>
  <c r="I105" i="10"/>
  <c r="D103" i="10"/>
  <c r="E105" i="10"/>
  <c r="G102" i="10"/>
  <c r="D102" i="10"/>
  <c r="E103" i="10"/>
  <c r="H102" i="10"/>
  <c r="H105" i="10"/>
  <c r="G103" i="10"/>
  <c r="D106" i="10"/>
  <c r="I91" i="10"/>
  <c r="H103" i="10"/>
  <c r="F105" i="10"/>
  <c r="F109" i="2"/>
  <c r="H111" i="2"/>
  <c r="D111" i="2"/>
  <c r="F99" i="3"/>
  <c r="I87" i="3"/>
  <c r="D99" i="3"/>
  <c r="I86" i="3"/>
  <c r="H89" i="3" s="1"/>
  <c r="C102" i="3"/>
  <c r="C101" i="3"/>
  <c r="G98" i="3"/>
  <c r="F100" i="3"/>
  <c r="C98" i="3"/>
  <c r="D101" i="3"/>
  <c r="H101" i="3"/>
  <c r="E99" i="3"/>
  <c r="H102" i="3"/>
  <c r="G99" i="3"/>
  <c r="H99" i="3"/>
  <c r="G100" i="3"/>
  <c r="D100" i="3"/>
  <c r="D102" i="3"/>
  <c r="F101" i="3"/>
  <c r="H100" i="3"/>
  <c r="H98" i="3"/>
  <c r="G101" i="3"/>
  <c r="D98" i="3"/>
  <c r="H92" i="3"/>
  <c r="C99" i="3"/>
  <c r="E102" i="3"/>
  <c r="E100" i="3"/>
  <c r="G102" i="3"/>
  <c r="E101" i="3"/>
  <c r="F98" i="3"/>
  <c r="F102" i="3"/>
  <c r="E98" i="3"/>
  <c r="G91" i="3"/>
  <c r="B110" i="3" s="1"/>
  <c r="D110" i="3" s="1"/>
  <c r="I109" i="2"/>
  <c r="H100" i="2"/>
  <c r="G107" i="2"/>
  <c r="I94" i="2"/>
  <c r="G99" i="2" s="1"/>
  <c r="G128" i="2" s="1"/>
  <c r="H97" i="2"/>
  <c r="I108" i="2"/>
  <c r="F107" i="2"/>
  <c r="D110" i="2"/>
  <c r="I107" i="2"/>
  <c r="H107" i="2"/>
  <c r="H110" i="2"/>
  <c r="E109" i="2"/>
  <c r="I95" i="2"/>
  <c r="H109" i="2"/>
  <c r="G109" i="2"/>
  <c r="F110" i="2"/>
  <c r="E111" i="2"/>
  <c r="G108" i="2"/>
  <c r="D109" i="2"/>
  <c r="D107" i="2"/>
  <c r="G111" i="2"/>
  <c r="F111" i="2"/>
  <c r="F108" i="2"/>
  <c r="I92" i="14"/>
  <c r="I96" i="14" s="1"/>
  <c r="I99" i="14" s="1"/>
  <c r="E130" i="2"/>
  <c r="G130" i="2"/>
  <c r="D128" i="2"/>
  <c r="D129" i="2"/>
  <c r="E121" i="2"/>
  <c r="G111" i="11"/>
  <c r="H123" i="11"/>
  <c r="H120" i="11"/>
  <c r="G123" i="11"/>
  <c r="E113" i="11"/>
  <c r="H113" i="11"/>
  <c r="D121" i="11"/>
  <c r="F121" i="11"/>
  <c r="F124" i="11"/>
  <c r="E111" i="11"/>
  <c r="F112" i="11"/>
  <c r="E124" i="11"/>
  <c r="C111" i="11"/>
  <c r="E120" i="11"/>
  <c r="D114" i="11"/>
  <c r="D110" i="11"/>
  <c r="I113" i="11"/>
  <c r="I122" i="11"/>
  <c r="C120" i="11"/>
  <c r="I120" i="11" s="1"/>
  <c r="F113" i="11"/>
  <c r="D112" i="11"/>
  <c r="F122" i="11"/>
  <c r="I123" i="11"/>
  <c r="C121" i="11"/>
  <c r="D120" i="11"/>
  <c r="I110" i="11"/>
  <c r="F123" i="11"/>
  <c r="C114" i="11"/>
  <c r="H114" i="11"/>
  <c r="C123" i="11"/>
  <c r="G110" i="11"/>
  <c r="H121" i="11"/>
  <c r="F114" i="11"/>
  <c r="E121" i="11"/>
  <c r="G122" i="11"/>
  <c r="H111" i="11"/>
  <c r="C122" i="11"/>
  <c r="I112" i="11"/>
  <c r="G124" i="11"/>
  <c r="C113" i="11"/>
  <c r="I111" i="11"/>
  <c r="G113" i="11"/>
  <c r="H110" i="11"/>
  <c r="E123" i="11"/>
  <c r="D124" i="11"/>
  <c r="E114" i="11"/>
  <c r="I114" i="11"/>
  <c r="G112" i="11"/>
  <c r="I121" i="11"/>
  <c r="H112" i="11"/>
  <c r="C124" i="11"/>
  <c r="D113" i="11"/>
  <c r="D123" i="11"/>
  <c r="G121" i="11"/>
  <c r="D111" i="11"/>
  <c r="G114" i="11"/>
  <c r="H122" i="11"/>
  <c r="F110" i="11"/>
  <c r="F111" i="11"/>
  <c r="D122" i="11"/>
  <c r="E110" i="11"/>
  <c r="H124" i="11"/>
  <c r="C110" i="11"/>
  <c r="F120" i="11"/>
  <c r="E112" i="11"/>
  <c r="G120" i="11"/>
  <c r="I124" i="11"/>
  <c r="C112" i="11"/>
  <c r="E122" i="11"/>
  <c r="E117" i="9"/>
  <c r="G108" i="9"/>
  <c r="C108" i="9"/>
  <c r="E116" i="9"/>
  <c r="D117" i="9"/>
  <c r="F106" i="9"/>
  <c r="F110" i="9"/>
  <c r="G109" i="9"/>
  <c r="F116" i="9"/>
  <c r="G119" i="9"/>
  <c r="D110" i="9"/>
  <c r="I106" i="9"/>
  <c r="G110" i="9"/>
  <c r="D118" i="9"/>
  <c r="H116" i="9"/>
  <c r="G116" i="9"/>
  <c r="C117" i="9"/>
  <c r="E120" i="9"/>
  <c r="D116" i="9"/>
  <c r="F108" i="9"/>
  <c r="E118" i="9"/>
  <c r="H120" i="9"/>
  <c r="E108" i="9"/>
  <c r="G118" i="9"/>
  <c r="I118" i="9"/>
  <c r="E107" i="9"/>
  <c r="H118" i="9"/>
  <c r="C119" i="9"/>
  <c r="F109" i="9"/>
  <c r="G121" i="9"/>
  <c r="I120" i="9"/>
  <c r="C120" i="9"/>
  <c r="I110" i="9"/>
  <c r="I111" i="9"/>
  <c r="G107" i="9"/>
  <c r="F121" i="9"/>
  <c r="C116" i="9"/>
  <c r="F119" i="9"/>
  <c r="C110" i="9"/>
  <c r="D106" i="9"/>
  <c r="H119" i="9"/>
  <c r="D121" i="9"/>
  <c r="G106" i="9"/>
  <c r="I119" i="9"/>
  <c r="E111" i="9"/>
  <c r="D120" i="9"/>
  <c r="G117" i="9"/>
  <c r="H117" i="9"/>
  <c r="C106" i="9"/>
  <c r="E121" i="9"/>
  <c r="I116" i="9"/>
  <c r="H121" i="9"/>
  <c r="E109" i="9"/>
  <c r="D109" i="9"/>
  <c r="G120" i="9"/>
  <c r="I107" i="9"/>
  <c r="F117" i="9"/>
  <c r="H108" i="9"/>
  <c r="G111" i="9"/>
  <c r="E106" i="9"/>
  <c r="E119" i="9"/>
  <c r="F111" i="9"/>
  <c r="E110" i="9"/>
  <c r="I117" i="9"/>
  <c r="C121" i="9"/>
  <c r="H106" i="9"/>
  <c r="H107" i="9"/>
  <c r="D108" i="9"/>
  <c r="F120" i="9"/>
  <c r="D119" i="9"/>
  <c r="I108" i="9"/>
  <c r="H110" i="9"/>
  <c r="C111" i="9"/>
  <c r="D111" i="9"/>
  <c r="C109" i="9"/>
  <c r="I109" i="9"/>
  <c r="D107" i="9"/>
  <c r="F118" i="9"/>
  <c r="H111" i="9"/>
  <c r="C107" i="9"/>
  <c r="F107" i="9"/>
  <c r="H109" i="9"/>
  <c r="I121" i="9"/>
  <c r="C118" i="9"/>
  <c r="G95" i="10" l="1"/>
  <c r="H96" i="10"/>
  <c r="B120" i="3"/>
  <c r="B119" i="3" s="1"/>
  <c r="G110" i="3"/>
  <c r="F110" i="3"/>
  <c r="B111" i="3"/>
  <c r="D111" i="3" s="1"/>
  <c r="B109" i="3"/>
  <c r="G109" i="3" s="1"/>
  <c r="H110" i="3"/>
  <c r="E110" i="3"/>
  <c r="B112" i="3"/>
  <c r="D112" i="3" s="1"/>
  <c r="B108" i="3"/>
  <c r="C108" i="3" s="1"/>
  <c r="C110" i="3"/>
  <c r="E120" i="2"/>
  <c r="I132" i="2"/>
  <c r="F128" i="2"/>
  <c r="I131" i="2"/>
  <c r="H129" i="2"/>
  <c r="F129" i="2"/>
  <c r="C119" i="2"/>
  <c r="G131" i="2"/>
  <c r="H128" i="2"/>
  <c r="H120" i="2"/>
  <c r="I122" i="2"/>
  <c r="E122" i="2"/>
  <c r="E129" i="2"/>
  <c r="I118" i="2"/>
  <c r="F132" i="2"/>
  <c r="E119" i="2"/>
  <c r="D131" i="2"/>
  <c r="C118" i="2"/>
  <c r="H119" i="2"/>
  <c r="D121" i="2"/>
  <c r="H121" i="2"/>
  <c r="H131" i="2"/>
  <c r="I129" i="2"/>
  <c r="C128" i="2"/>
  <c r="I128" i="2" s="1"/>
  <c r="C121" i="2"/>
  <c r="D122" i="2"/>
  <c r="G129" i="2"/>
  <c r="F122" i="2"/>
  <c r="G120" i="2"/>
  <c r="E132" i="2"/>
  <c r="D119" i="2"/>
  <c r="H130" i="2"/>
  <c r="H122" i="2"/>
  <c r="I119" i="2"/>
  <c r="F119" i="2"/>
  <c r="D132" i="2"/>
  <c r="F118" i="2"/>
  <c r="D120" i="2"/>
  <c r="F120" i="2"/>
  <c r="G118" i="2"/>
  <c r="H118" i="2"/>
  <c r="C131" i="2"/>
  <c r="F131" i="2"/>
  <c r="C132" i="2"/>
  <c r="D130" i="2"/>
  <c r="H132" i="2"/>
  <c r="G121" i="2"/>
  <c r="G119" i="2"/>
  <c r="I120" i="2"/>
  <c r="C120" i="2"/>
  <c r="E118" i="2"/>
  <c r="C129" i="2"/>
  <c r="G122" i="2"/>
  <c r="E131" i="2"/>
  <c r="G132" i="2"/>
  <c r="F121" i="2"/>
  <c r="F130" i="2"/>
  <c r="I130" i="2"/>
  <c r="C122" i="2"/>
  <c r="D118" i="2"/>
  <c r="C130" i="2"/>
  <c r="E128" i="2"/>
  <c r="I121" i="2"/>
  <c r="I100" i="14"/>
  <c r="I102" i="14" s="1"/>
  <c r="G120" i="3"/>
  <c r="B122" i="3"/>
  <c r="H122" i="3" s="1"/>
  <c r="E120" i="3"/>
  <c r="B121" i="3"/>
  <c r="F121" i="3" s="1"/>
  <c r="C120" i="3"/>
  <c r="D120" i="3"/>
  <c r="H120" i="3"/>
  <c r="B118" i="3"/>
  <c r="G118" i="3" s="1"/>
  <c r="F120" i="3"/>
  <c r="H119" i="3"/>
  <c r="E119" i="3"/>
  <c r="C119" i="3"/>
  <c r="F119" i="3"/>
  <c r="D119" i="3"/>
  <c r="G119" i="3"/>
  <c r="D120" i="10"/>
  <c r="H114" i="10"/>
  <c r="F121" i="10"/>
  <c r="E120" i="10"/>
  <c r="D114" i="10"/>
  <c r="E111" i="10"/>
  <c r="I123" i="10"/>
  <c r="I113" i="10"/>
  <c r="F115" i="10"/>
  <c r="I121" i="10"/>
  <c r="I112" i="10"/>
  <c r="D113" i="10"/>
  <c r="D115" i="10"/>
  <c r="G115" i="10"/>
  <c r="G112" i="10"/>
  <c r="E112" i="10"/>
  <c r="F120" i="10"/>
  <c r="H122" i="10"/>
  <c r="F122" i="10"/>
  <c r="F112" i="10"/>
  <c r="G121" i="10"/>
  <c r="D122" i="10"/>
  <c r="D123" i="10"/>
  <c r="E124" i="10"/>
  <c r="C112" i="10"/>
  <c r="G114" i="10"/>
  <c r="E115" i="10"/>
  <c r="D124" i="10"/>
  <c r="C114" i="10"/>
  <c r="I122" i="10"/>
  <c r="I124" i="10"/>
  <c r="F124" i="10"/>
  <c r="D111" i="10"/>
  <c r="G113" i="10"/>
  <c r="I111" i="10"/>
  <c r="D112" i="10"/>
  <c r="H111" i="10"/>
  <c r="I115" i="10"/>
  <c r="H124" i="10"/>
  <c r="C123" i="10"/>
  <c r="C121" i="10"/>
  <c r="E123" i="10"/>
  <c r="C124" i="10"/>
  <c r="E121" i="10"/>
  <c r="F123" i="10"/>
  <c r="G120" i="10"/>
  <c r="H115" i="10"/>
  <c r="H120" i="10"/>
  <c r="C120" i="10"/>
  <c r="I120" i="10" s="1"/>
  <c r="C122" i="10"/>
  <c r="I114" i="10"/>
  <c r="F111" i="10"/>
  <c r="G111" i="10"/>
  <c r="H121" i="10"/>
  <c r="C113" i="10"/>
  <c r="F113" i="10"/>
  <c r="E122" i="10"/>
  <c r="H112" i="10"/>
  <c r="C115" i="10"/>
  <c r="H123" i="10"/>
  <c r="C111" i="10"/>
  <c r="E113" i="10"/>
  <c r="D121" i="10"/>
  <c r="H113" i="10"/>
  <c r="G122" i="10"/>
  <c r="G124" i="10"/>
  <c r="F114" i="10"/>
  <c r="E114" i="10"/>
  <c r="G123" i="10"/>
  <c r="C111" i="3"/>
  <c r="H111" i="3"/>
  <c r="E111" i="3"/>
  <c r="F111" i="3"/>
  <c r="C109" i="3"/>
  <c r="D109" i="3"/>
  <c r="E109" i="3"/>
  <c r="H109" i="3"/>
  <c r="F109" i="3"/>
  <c r="G111" i="3" l="1"/>
  <c r="F112" i="3"/>
  <c r="G112" i="3"/>
  <c r="F108" i="3"/>
  <c r="C112" i="3"/>
  <c r="E112" i="3"/>
  <c r="H112" i="3"/>
  <c r="G108" i="3"/>
  <c r="D108" i="3"/>
  <c r="E108" i="3"/>
  <c r="H108" i="3"/>
  <c r="G121" i="3"/>
  <c r="E121" i="3"/>
  <c r="C121" i="3"/>
  <c r="H121" i="3"/>
  <c r="D121" i="3"/>
  <c r="D122" i="3"/>
  <c r="C122" i="3"/>
  <c r="F122" i="3"/>
  <c r="G122" i="3"/>
  <c r="E122" i="3"/>
  <c r="H118" i="3"/>
  <c r="F118" i="3"/>
  <c r="C118" i="3"/>
  <c r="E118" i="3"/>
  <c r="D1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Gessner</author>
    <author>Windows User</author>
  </authors>
  <commentList>
    <comment ref="C1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Bangs
Prebreed:
5-way, Lepto, Vibro
Ionophore
Other health expenses</t>
        </r>
      </text>
    </comment>
    <comment ref="C1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incurred at the sale barn (vet, insurance, yardage, feed, check off and commission) and/or expenses related to marketing bred heifers for sale-advertising, fliers, etc. </t>
        </r>
      </text>
    </comment>
    <comment ref="C1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Synchronization 
Heat detection patches
Semen
</t>
        </r>
      </text>
    </comment>
    <comment ref="H17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830 pounds at $1.44
</t>
        </r>
      </text>
    </comment>
    <comment ref="H18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Either enough bull power to breed heifers, or cleanup bulls. Number will vary. </t>
        </r>
      </text>
    </comment>
    <comment ref="H20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ASSUMES bull is used for 3 years, and then sold for salvage. 
</t>
        </r>
      </text>
    </comment>
    <comment ref="C24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Purchase price or Opportunity price of selling a raised heifer (Weight * Market price)</t>
        </r>
      </text>
    </comment>
    <comment ref="C2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Heather Gessner:</t>
        </r>
        <r>
          <rPr>
            <sz val="9"/>
            <color indexed="81"/>
            <rFont val="Tahoma"/>
            <family val="2"/>
          </rPr>
          <t xml:space="preserve">
Weaned November 2015
Moved to pasture June 2016
Pregcheck November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pre-breeding vaccinations, pre-calving vaccinations, calf vaccinations up to weaning, and any other veterinarian expenses and medications used for the cowherd, including the calf, to weaning.
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incurred at the sale barn (vet, insurance, yardage, feed, check off and commission) and/or any expenses related to marketing bred cows or utilizing risk management and marketing tools. 
</t>
        </r>
      </text>
    </comment>
    <comment ref="C1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Excludes bull costs. Include any synchronization and AI expenses.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1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Include: vaccinations, implants, pour-ons, and other veterinarian and drug expenses. </t>
        </r>
      </text>
    </comment>
    <comment ref="C2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related sale barn or marketing expenses. 
</t>
        </r>
      </text>
    </comment>
    <comment ref="C2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Expenses to purchase livestock insurance products or futures and option contract expenses.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2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vaccinations, implants, ionophore costs and other veterinarian and drug expenses.
</t>
        </r>
      </text>
    </comment>
    <comment ref="C2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Include all sale barn related expenses. Include any livestock risk management protection expenses, i.e. insurance premium or cost of put options.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23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Include all sale barn expenses: yardage, feed, checkoff, and commission </t>
        </r>
      </text>
    </comment>
  </commentList>
</comments>
</file>

<file path=xl/sharedStrings.xml><?xml version="1.0" encoding="utf-8"?>
<sst xmlns="http://schemas.openxmlformats.org/spreadsheetml/2006/main" count="1040" uniqueCount="399">
  <si>
    <t xml:space="preserve"> DESCRIPTION</t>
  </si>
  <si>
    <t xml:space="preserve"> # OF UNITS</t>
  </si>
  <si>
    <t xml:space="preserve">     # OF UNITS</t>
  </si>
  <si>
    <t>LIVESTOCK INCOME</t>
  </si>
  <si>
    <t>|</t>
  </si>
  <si>
    <t>(Budget is for one animal only.</t>
  </si>
  <si>
    <t>Enter values for only one animal</t>
  </si>
  <si>
    <t xml:space="preserve">or representative animal of </t>
  </si>
  <si>
    <t>herd.)</t>
  </si>
  <si>
    <t>OTHER COSTS</t>
  </si>
  <si>
    <t>RESULTS SECTION</t>
  </si>
  <si>
    <t xml:space="preserve">  I.  GROSS INCOME</t>
  </si>
  <si>
    <t>TOTAL INCOME</t>
  </si>
  <si>
    <t xml:space="preserve"> II.  OPERATING COSTS</t>
  </si>
  <si>
    <t xml:space="preserve"> </t>
  </si>
  <si>
    <t>cwt @</t>
  </si>
  <si>
    <t>Veterinary and drugs</t>
  </si>
  <si>
    <t>Supplies</t>
  </si>
  <si>
    <t>Marketing</t>
  </si>
  <si>
    <t>TOTAL DIRECT OPERATING COSTS</t>
  </si>
  <si>
    <t>III.  INCOME OVER DIRECT OPERATING COST (I minus II)</t>
  </si>
  <si>
    <t xml:space="preserve"> IV.  OTHER COSTS</t>
  </si>
  <si>
    <t>Effective Interest Rate</t>
  </si>
  <si>
    <t>Interest on Average Operating Capital Requirements</t>
  </si>
  <si>
    <t>Power and Utility Costs</t>
  </si>
  <si>
    <t>RETURN FOR LABOR &amp; FACILITIES</t>
  </si>
  <si>
    <t>Replacement charge per cow            (</t>
  </si>
  <si>
    <t>)</t>
  </si>
  <si>
    <t>Grain and forage</t>
  </si>
  <si>
    <t>(</t>
  </si>
  <si>
    <t>Other direct costs</t>
  </si>
  <si>
    <t>Hay</t>
  </si>
  <si>
    <t>Selling Price / cwt</t>
  </si>
  <si>
    <t>Depreciation, Insurance, and Misc. on Average Capital Requirements</t>
  </si>
  <si>
    <t xml:space="preserve">(Marketing = yardage, feed, $ checkoff, trucking, </t>
  </si>
  <si>
    <t>and commission)</t>
  </si>
  <si>
    <t>Hired labor</t>
  </si>
  <si>
    <t>Gain</t>
  </si>
  <si>
    <t>LIVESTOCK COSTS</t>
  </si>
  <si>
    <t>OTHER OPERATING COSTS</t>
  </si>
  <si>
    <t>Price Protection</t>
  </si>
  <si>
    <t>MISCELLANEOUS</t>
  </si>
  <si>
    <t>Yearling Steer or Heifer</t>
  </si>
  <si>
    <t>cwt X</t>
  </si>
  <si>
    <t>Death loss</t>
  </si>
  <si>
    <t xml:space="preserve">%  of  </t>
  </si>
  <si>
    <t>Steer or Heifer Calf</t>
  </si>
  <si>
    <t xml:space="preserve">cwt @ </t>
  </si>
  <si>
    <t>Price protection</t>
  </si>
  <si>
    <t>bu. @</t>
  </si>
  <si>
    <t>ton @</t>
  </si>
  <si>
    <t xml:space="preserve">     BREAKEVEN SELLING PRICE FOR YEARLING</t>
  </si>
  <si>
    <t>(When purchase price is</t>
  </si>
  <si>
    <t>/ cwt.)</t>
  </si>
  <si>
    <t>(cost of gain =</t>
  </si>
  <si>
    <t>cents per pound)</t>
  </si>
  <si>
    <t xml:space="preserve">     BREAKEVEN PURCHASE PRICE FOR FEEDER CALF</t>
  </si>
  <si>
    <t xml:space="preserve"> (When selling price is</t>
  </si>
  <si>
    <t xml:space="preserve">   RETURN TO LABOR, MANAGEMENT, AND FACILITIES </t>
  </si>
  <si>
    <t xml:space="preserve">        Selling Price / cwt with</t>
  </si>
  <si>
    <t>per hundredweight purchase price</t>
  </si>
  <si>
    <t>Months on Farm</t>
  </si>
  <si>
    <t xml:space="preserve">Slaughter Steer </t>
  </si>
  <si>
    <t>%  of</t>
  </si>
  <si>
    <t>Yearling Steer</t>
  </si>
  <si>
    <t xml:space="preserve">    Selling Price / cwt</t>
  </si>
  <si>
    <t>Selling Price / cwt with</t>
  </si>
  <si>
    <t>Hired Labor</t>
  </si>
  <si>
    <t>TOTAL FEED COST</t>
  </si>
  <si>
    <t>FEED COSTS</t>
  </si>
  <si>
    <t>TYPE</t>
  </si>
  <si>
    <t>cwt</t>
  </si>
  <si>
    <t>bu.</t>
  </si>
  <si>
    <t>ton</t>
  </si>
  <si>
    <t>Alfalfa</t>
  </si>
  <si>
    <t>Silage</t>
  </si>
  <si>
    <t>UNIT</t>
  </si>
  <si>
    <t xml:space="preserve"> Total Cwt sold:    </t>
  </si>
  <si>
    <t xml:space="preserve"> $/Cwt sold:        </t>
  </si>
  <si>
    <t xml:space="preserve"> Death loss, %:     </t>
  </si>
  <si>
    <t xml:space="preserve"> Total Cwt bought:  </t>
  </si>
  <si>
    <t xml:space="preserve"> $/Cwt bought:      </t>
  </si>
  <si>
    <t xml:space="preserve"> Vet.&amp; Drug expense:</t>
  </si>
  <si>
    <t xml:space="preserve"> Supplies purchased:</t>
  </si>
  <si>
    <t xml:space="preserve"> Marketing costs:   </t>
  </si>
  <si>
    <t xml:space="preserve"> Interest Rate:     </t>
  </si>
  <si>
    <t xml:space="preserve"> Power &amp; Util. cost:</t>
  </si>
  <si>
    <t xml:space="preserve"> Bldg&amp; Equip.Invest.</t>
  </si>
  <si>
    <t xml:space="preserve">Cost of Gain </t>
  </si>
  <si>
    <t>Cost of Gain</t>
  </si>
  <si>
    <t>Cost of Animal</t>
  </si>
  <si>
    <t>($/CWT)</t>
  </si>
  <si>
    <t>($/day)</t>
  </si>
  <si>
    <t>($/Day)</t>
  </si>
  <si>
    <t>Average Daily Gain</t>
  </si>
  <si>
    <t xml:space="preserve"> Interest Rate:              </t>
  </si>
  <si>
    <t xml:space="preserve"> Power &amp; Util. cost:    </t>
  </si>
  <si>
    <t xml:space="preserve"> Fixed Investment:       </t>
  </si>
  <si>
    <t xml:space="preserve"> Months on farm:        </t>
  </si>
  <si>
    <t>Feed Costs</t>
  </si>
  <si>
    <t>Pasture</t>
  </si>
  <si>
    <t>AUM</t>
  </si>
  <si>
    <t>(Cost  of  gain  =</t>
  </si>
  <si>
    <t>/cwt</t>
  </si>
  <si>
    <t>BREAKEVEN SELLING PRICE FOR SLAUGHTER STEER</t>
  </si>
  <si>
    <t>BREAKEVEN PURCHASE PRICE FOR YEARLING STEER</t>
  </si>
  <si>
    <t>Cost of Gain ($/day)</t>
  </si>
  <si>
    <t>Cost of Purchased Steer (cwt)</t>
  </si>
  <si>
    <t xml:space="preserve">RETURN TO LABOR, MANAGEMENT, AND FACILITIES </t>
  </si>
  <si>
    <t xml:space="preserve">Pounds in </t>
  </si>
  <si>
    <t>aum @</t>
  </si>
  <si>
    <t>Corn Stover</t>
  </si>
  <si>
    <t>Pounds Fed Daily</t>
  </si>
  <si>
    <t>Total Feed For Feeding Period</t>
  </si>
  <si>
    <t>Price Per Unit</t>
  </si>
  <si>
    <t>Unit</t>
  </si>
  <si>
    <t>days on the farm</t>
  </si>
  <si>
    <t>SHIPPING</t>
  </si>
  <si>
    <t>Fuel price</t>
  </si>
  <si>
    <t>Miles to Market (round trip)</t>
  </si>
  <si>
    <t>Miles per Gallon</t>
  </si>
  <si>
    <t>Shipping</t>
  </si>
  <si>
    <t># head in trailer</t>
  </si>
  <si>
    <t>cents per #)</t>
  </si>
  <si>
    <t>Pounds fed Daily</t>
  </si>
  <si>
    <t>Cow Herd Size</t>
  </si>
  <si>
    <t>Months on Winter Feed Ration</t>
  </si>
  <si>
    <t>Months on Pasture</t>
  </si>
  <si>
    <t>days on feed</t>
  </si>
  <si>
    <t>PRICE/ Unit</t>
  </si>
  <si>
    <t>days in pasture</t>
  </si>
  <si>
    <t>Breeding fees:</t>
  </si>
  <si>
    <t>Cost of Alfalfa</t>
  </si>
  <si>
    <t>TOTAL COW COSTS PER YEAR</t>
  </si>
  <si>
    <t>SHIPPING- TO PASTURE AND HOME</t>
  </si>
  <si>
    <t>Miles to pasture (round trip)</t>
  </si>
  <si>
    <t>Number of Bulls</t>
  </si>
  <si>
    <t>Bull Value</t>
  </si>
  <si>
    <t>Average bull value</t>
  </si>
  <si>
    <t>cows /</t>
  </si>
  <si>
    <t>Bulls =</t>
  </si>
  <si>
    <t>Culls =</t>
  </si>
  <si>
    <t>Indirect Costs</t>
  </si>
  <si>
    <t xml:space="preserve"> I.  OPERATING COSTS</t>
  </si>
  <si>
    <t>Number Culled Annually</t>
  </si>
  <si>
    <t>DIRECT OPERATING COSTS</t>
  </si>
  <si>
    <t>~interest, electric, depreciation</t>
  </si>
  <si>
    <t>Commercial Trucking ($/mile)</t>
  </si>
  <si>
    <t xml:space="preserve">Cost of Pasture </t>
  </si>
  <si>
    <t>INDIRECT COSTS</t>
  </si>
  <si>
    <t>Replacement Cow Value</t>
  </si>
  <si>
    <t>Value of Cull Cow</t>
  </si>
  <si>
    <t>HERD INFORMATION</t>
  </si>
  <si>
    <t>aum</t>
  </si>
  <si>
    <t>Heifer Herd Size</t>
  </si>
  <si>
    <t>Conception Rate</t>
  </si>
  <si>
    <t>Value of Cull Heifer</t>
  </si>
  <si>
    <t>Weaned Calf to Breeding Season</t>
  </si>
  <si>
    <t>Breeding Season to Fall Preg Check</t>
  </si>
  <si>
    <t>Total Feed Used</t>
  </si>
  <si>
    <t>Calf Weight</t>
  </si>
  <si>
    <t xml:space="preserve">Calf Prices ($/cwt) </t>
  </si>
  <si>
    <t>Weaning Percentage</t>
  </si>
  <si>
    <t xml:space="preserve">Income Per Cow - </t>
  </si>
  <si>
    <t>Replacement =</t>
  </si>
  <si>
    <t xml:space="preserve">IV. CHANGE IN FEED COSTS AS PASTURE AND/OR ALFALFA PRICES CHANGE </t>
  </si>
  <si>
    <t>Cull Cow income</t>
  </si>
  <si>
    <t>Expected price $/cwt</t>
  </si>
  <si>
    <t xml:space="preserve">CALF </t>
  </si>
  <si>
    <t>High Moisture Corn</t>
  </si>
  <si>
    <t>Dry Corn</t>
  </si>
  <si>
    <t>AUM@</t>
  </si>
  <si>
    <t xml:space="preserve">Shipping </t>
  </si>
  <si>
    <t>aum@</t>
  </si>
  <si>
    <t xml:space="preserve">Todays Date </t>
  </si>
  <si>
    <t>Pounds in</t>
  </si>
  <si>
    <t xml:space="preserve"> Months</t>
  </si>
  <si>
    <t>pounds per day</t>
  </si>
  <si>
    <t>Months</t>
  </si>
  <si>
    <t>CME 10/8</t>
  </si>
  <si>
    <t>basis</t>
  </si>
  <si>
    <t>price</t>
  </si>
  <si>
    <t>average</t>
  </si>
  <si>
    <t>70% of average</t>
  </si>
  <si>
    <t>Corn</t>
  </si>
  <si>
    <t>Western SD</t>
  </si>
  <si>
    <t>Alfalfa Large Round: Good 70.00; Fair 40.00-55.00. Large</t>
  </si>
  <si>
    <t>Squares: Premium 180.00-195.00; Premium/Good 140.00; Good</t>
  </si>
  <si>
    <t>90.00. Alfalfa/Grass Large Squares: Premium 125.00;</t>
  </si>
  <si>
    <t>Premium/Good 90.00; Good 75.00-87.00.</t>
  </si>
  <si>
    <t>Pipestone, MN Hay and Straw Auction One</t>
  </si>
  <si>
    <t>load Small Squares is 2-3 tons; Large Square and Large Round</t>
  </si>
  <si>
    <t>range 5-25 tons per load. Receipts: 18 Loads. Alfalfa: Fair: Large</t>
  </si>
  <si>
    <t>Rounds, 2 loads 75.00-85.00; Small Squares, 1 load 4.00 per bale.</t>
  </si>
  <si>
    <t>Grass: Grass: Premium: Large Rounds, 1 load 90.00. Good: Large</t>
  </si>
  <si>
    <t>Rounds, 4 loads 70.00-85.00. Fair: Large Rounds, 3 loads 50.00-</t>
  </si>
  <si>
    <t>65.00. Utility: Large Rounds, 1 load 40.00.</t>
  </si>
  <si>
    <t>Mixed Alfalfa/Grass: Good: Large Rounds, 5 loads 80.00-90.00.</t>
  </si>
  <si>
    <t>Utility: Large Rounds, 1 load 40.00.</t>
  </si>
  <si>
    <t>Rock Valley Hay Auction 10/01/15 One load Small</t>
  </si>
  <si>
    <t>Square approx. 5 tons; Large Square and Round 10-25 tons per</t>
  </si>
  <si>
    <t>load. Receipts: 78 loads. Alfalfa: Good: Large Squares and</t>
  </si>
  <si>
    <t>Rounds, 6 loads 125.00-150.00. Fair: Large Squares and Rounds, 9</t>
  </si>
  <si>
    <t>loads 100.00-115.00. Utility: Large Squares and Rounds, 17 loads</t>
  </si>
  <si>
    <t>80.00-97.50. Alfalfa/Grass Mix: Good: Large Rounds, 2 loads</t>
  </si>
  <si>
    <t>102.50-112.50. Fair: Large Rounds, 2 loads 85.00. Grass:</t>
  </si>
  <si>
    <t>Premium: Large Rounds, 2 loads 155.00. Good: Large Squares and</t>
  </si>
  <si>
    <t>Rounds, 13 loads 90.00-125.00; Small Squares, 1 load 135.00. Fair:</t>
  </si>
  <si>
    <t>Large Rounds, 10 loads 70.00-82.50. Straw: Large Squares and</t>
  </si>
  <si>
    <t>Rounds, 13 loads 60.00-87.5075.00-80.00. Cornstalks: Large</t>
  </si>
  <si>
    <t>ROunds, 3 loads 40.00-57.50.</t>
  </si>
  <si>
    <t>Premium</t>
  </si>
  <si>
    <t>Premium/Good</t>
  </si>
  <si>
    <t>Good</t>
  </si>
  <si>
    <t>Good/fair</t>
  </si>
  <si>
    <t xml:space="preserve">Fair </t>
  </si>
  <si>
    <t>40-55</t>
  </si>
  <si>
    <t>180-195</t>
  </si>
  <si>
    <t>Alfalfa/grass</t>
  </si>
  <si>
    <t>Rounds</t>
  </si>
  <si>
    <t>Squares</t>
  </si>
  <si>
    <t>75-87</t>
  </si>
  <si>
    <t>75-85</t>
  </si>
  <si>
    <t>rounds</t>
  </si>
  <si>
    <t>grass</t>
  </si>
  <si>
    <t>70-85</t>
  </si>
  <si>
    <t>50-65</t>
  </si>
  <si>
    <t>alfalfa/grass</t>
  </si>
  <si>
    <t>80-90</t>
  </si>
  <si>
    <t>Utility</t>
  </si>
  <si>
    <t>alfalfa</t>
  </si>
  <si>
    <t>125-150</t>
  </si>
  <si>
    <t>100-115</t>
  </si>
  <si>
    <t>80-97.50</t>
  </si>
  <si>
    <t>rounds and squares</t>
  </si>
  <si>
    <t>102.5-112.5</t>
  </si>
  <si>
    <t>90-125</t>
  </si>
  <si>
    <t>70-82.50</t>
  </si>
  <si>
    <t>straw</t>
  </si>
  <si>
    <t>60-80</t>
  </si>
  <si>
    <t xml:space="preserve">corn stalk </t>
  </si>
  <si>
    <t>s</t>
  </si>
  <si>
    <t>40-57.50</t>
  </si>
  <si>
    <t xml:space="preserve">Distillers Products - </t>
  </si>
  <si>
    <t>Wentworth</t>
  </si>
  <si>
    <t xml:space="preserve">Dry </t>
  </si>
  <si>
    <t>Modified</t>
  </si>
  <si>
    <t>Syrup</t>
  </si>
  <si>
    <t>32% solids</t>
  </si>
  <si>
    <t>Mineral &amp; Salt</t>
  </si>
  <si>
    <t>Months on pasture</t>
  </si>
  <si>
    <t>Live Cattle</t>
  </si>
  <si>
    <t>Oct</t>
  </si>
  <si>
    <t>Dec</t>
  </si>
  <si>
    <t>Feb</t>
  </si>
  <si>
    <t>Apr</t>
  </si>
  <si>
    <t>Jun</t>
  </si>
  <si>
    <t>Aug</t>
  </si>
  <si>
    <t>Feeder Cattle</t>
  </si>
  <si>
    <t>Nov</t>
  </si>
  <si>
    <t>Jan</t>
  </si>
  <si>
    <t>Mar</t>
  </si>
  <si>
    <t>May</t>
  </si>
  <si>
    <t>Sept</t>
  </si>
  <si>
    <t>---</t>
  </si>
  <si>
    <t>Interest on Direct Operating Costs</t>
  </si>
  <si>
    <t>TOTAL OTHER COSTS</t>
  </si>
  <si>
    <t>Depreciation, Insurance, and Misc. on Total Direct Operating Costs</t>
  </si>
  <si>
    <t>Depreciation, Insurance, and Misc. on Direct Operating Costs</t>
  </si>
  <si>
    <t>TOTOAL OTHER COSTS</t>
  </si>
  <si>
    <t>TOTAL COW INCOME</t>
  </si>
  <si>
    <t>TOTAL HEIFER COSTS PER YEAR</t>
  </si>
  <si>
    <t>heifers /</t>
  </si>
  <si>
    <t>heifers/</t>
  </si>
  <si>
    <t>Value of Heifer Calf</t>
  </si>
  <si>
    <t>III. INVESTMENT TO RAISE REPLACEMENT HEIFER</t>
  </si>
  <si>
    <t>Dried Distillers</t>
  </si>
  <si>
    <t>Cull Bull Value</t>
  </si>
  <si>
    <t>Breeding fees (not including bull expenses):</t>
  </si>
  <si>
    <r>
      <t xml:space="preserve">II.  AVERAGE OPERATING CAPITAL REQUIREMENTS - </t>
    </r>
    <r>
      <rPr>
        <b/>
        <sz val="12"/>
        <color rgb="FFFF0000"/>
        <rFont val="Arial"/>
        <family val="2"/>
      </rPr>
      <t>PER COW</t>
    </r>
  </si>
  <si>
    <t xml:space="preserve">  Cells displayed YELLOW are designed for users to INPUT data.</t>
  </si>
  <si>
    <t>INPUT SECTION</t>
  </si>
  <si>
    <t>DESCRIPTION</t>
  </si>
  <si>
    <r>
      <t xml:space="preserve">II.  AVERAGE OPERATING CAPITAL REQUIREMENTS - </t>
    </r>
    <r>
      <rPr>
        <b/>
        <sz val="12"/>
        <color rgb="FFFF0000"/>
        <rFont val="Arial"/>
        <family val="2"/>
      </rPr>
      <t>PER HEIFER</t>
    </r>
  </si>
  <si>
    <t>Vet.&amp; Drug expense:</t>
  </si>
  <si>
    <t>Supplies purchased:</t>
  </si>
  <si>
    <t xml:space="preserve">Marketing costs:   </t>
  </si>
  <si>
    <t xml:space="preserve">Interest Rate:              </t>
  </si>
  <si>
    <t xml:space="preserve">Power &amp; Util. cost:    </t>
  </si>
  <si>
    <t xml:space="preserve">Fixed Investment:       </t>
  </si>
  <si>
    <r>
      <t>III. INCOME-</t>
    </r>
    <r>
      <rPr>
        <b/>
        <sz val="12"/>
        <color rgb="FFFF0000"/>
        <rFont val="Arial"/>
        <family val="2"/>
      </rPr>
      <t>PER COW</t>
    </r>
  </si>
  <si>
    <t>Calf (considering a 50/50 Steer/Heifer mix)</t>
  </si>
  <si>
    <t>Cells with a Red Triangle include an explanation of the expense.</t>
  </si>
  <si>
    <t>Average weaning weight (CWT)</t>
  </si>
  <si>
    <t xml:space="preserve">Total Cwt sold:    </t>
  </si>
  <si>
    <t xml:space="preserve">$/Cwt sold:        </t>
  </si>
  <si>
    <t xml:space="preserve">Death loss, %:     </t>
  </si>
  <si>
    <t xml:space="preserve">Total Cwt bought:  </t>
  </si>
  <si>
    <t xml:space="preserve">$/Cwt bought:      </t>
  </si>
  <si>
    <t xml:space="preserve">Interest Rate:     </t>
  </si>
  <si>
    <t>Power &amp; Util. cost:</t>
  </si>
  <si>
    <t>Months on grain ration:</t>
  </si>
  <si>
    <t>Bldg.&amp; Equip. Invest.</t>
  </si>
  <si>
    <t># OF UNITS</t>
  </si>
  <si>
    <t xml:space="preserve">Months on grain ration  </t>
  </si>
  <si>
    <t>Months on feed ration</t>
  </si>
  <si>
    <t>Miles to market (round trip)</t>
  </si>
  <si>
    <t>20% Liquid</t>
  </si>
  <si>
    <t>Read Me</t>
  </si>
  <si>
    <t>SDSU Extension Beef Cattle Enterprise Budgets</t>
  </si>
  <si>
    <t xml:space="preserve">This spreadsheet may be used to estimate revenues and costs per beef cattle enterprise. In the </t>
  </si>
  <si>
    <t xml:space="preserve">spreadsheet, revenue is calculated by entering expected weight and price.  Line item cost </t>
  </si>
  <si>
    <t xml:space="preserve">estimates are listed below. These items are best estimated from your records or expected costs in </t>
  </si>
  <si>
    <t xml:space="preserve">your area. Fuel, oil, repairs, building and equiment costs, and management fee in the budgets </t>
  </si>
  <si>
    <t xml:space="preserve">are estimated using FINBIN trends for similar farms and enterprises and then are adjusted for </t>
  </si>
  <si>
    <t xml:space="preserve">expected changes for 2017. The managment fee is a charge for managing the beef enterprises </t>
  </si>
  <si>
    <t>and is estimated using FINBIN trends.</t>
  </si>
  <si>
    <t xml:space="preserve">Throughout the  spreadsheets cells with YELLOW CELLS are locations where the producer should </t>
  </si>
  <si>
    <t xml:space="preserve">enter their own production information. Start with the  Step 1-Feed Cost Input Sheet tab. </t>
  </si>
  <si>
    <t xml:space="preserve">This spreadsheet is intended for educational purposes only.  The authors and distributors of the </t>
  </si>
  <si>
    <t xml:space="preserve">template assume no liability for use or misuse of this template or the decisions which result. </t>
  </si>
  <si>
    <t xml:space="preserve">Use this page to enter the feedstuffs you have available on your farm/ranch and the value per unit.  </t>
  </si>
  <si>
    <t xml:space="preserve">feed, enter it in a line that has a similar unit comparison. Example-Wheat mids will be used instead </t>
  </si>
  <si>
    <t xml:space="preserve">SDSU Extension Beef Cattle Enterprise Budgets </t>
  </si>
  <si>
    <t>Feed Cost Input Sheet</t>
  </si>
  <si>
    <t xml:space="preserve">Throughout the  spreadsheets cells with YELLOW cells are locations where the producer should </t>
  </si>
  <si>
    <t xml:space="preserve">enter their own production information. </t>
  </si>
  <si>
    <t xml:space="preserve">SDSU Extension Beef Cattle Enterprise Budgets  </t>
  </si>
  <si>
    <t>Heifer Development</t>
  </si>
  <si>
    <t xml:space="preserve">To add your fuel/mileage cost enter </t>
  </si>
  <si>
    <t xml:space="preserve">either the cost of commercial trucking </t>
  </si>
  <si>
    <t xml:space="preserve">OR miles per gallon on your </t>
  </si>
  <si>
    <t xml:space="preserve">pickup/tractor trailer. Mileage is for one </t>
  </si>
  <si>
    <t>animal.</t>
  </si>
  <si>
    <t xml:space="preserve">Heifer Development  </t>
  </si>
  <si>
    <t>Beef Cow</t>
  </si>
  <si>
    <t xml:space="preserve">To add your fuel/mileage cost enter either </t>
  </si>
  <si>
    <t xml:space="preserve">the cost of commercial trucking OR miles </t>
  </si>
  <si>
    <t xml:space="preserve">per gallon on your pickup/tractor trailer. </t>
  </si>
  <si>
    <t>Mileage is for one animal.</t>
  </si>
  <si>
    <t xml:space="preserve">The feeds listed are general feed stuffs. </t>
  </si>
  <si>
    <t xml:space="preserve">This is a balanced ration for cows wintered </t>
  </si>
  <si>
    <t xml:space="preserve">Nov. 1 to Jan. 1, then Jan. 1-March 31 with </t>
  </si>
  <si>
    <t xml:space="preserve">a last trimester ration and then April 1-May 31 </t>
  </si>
  <si>
    <t xml:space="preserve">early lactation ration. June to October the cows </t>
  </si>
  <si>
    <t xml:space="preserve">are on grass. Please enter the feeds you are </t>
  </si>
  <si>
    <t xml:space="preserve">using in your own ration to increase the accuracy </t>
  </si>
  <si>
    <t xml:space="preserve">of the budget. </t>
  </si>
  <si>
    <t>Background Calves November to February</t>
  </si>
  <si>
    <t xml:space="preserve">PRICE PER UNIT </t>
  </si>
  <si>
    <t>per hundred weight purchase price</t>
  </si>
  <si>
    <t xml:space="preserve">Finish Steer or Heifers </t>
  </si>
  <si>
    <t xml:space="preserve">(Budget is for one animal only. Enter values </t>
  </si>
  <si>
    <t xml:space="preserve">for only one animal or representative animal </t>
  </si>
  <si>
    <t>of your herd.)</t>
  </si>
  <si>
    <t xml:space="preserve">To add your fuel/mileage cost enter either the </t>
  </si>
  <si>
    <t xml:space="preserve">cost of commercial trucking OR miles per </t>
  </si>
  <si>
    <t xml:space="preserve">gallon on your pickup/tractor trailer. Mileage </t>
  </si>
  <si>
    <t>is for one animal.</t>
  </si>
  <si>
    <t xml:space="preserve">Cost of gain includes all expenses, </t>
  </si>
  <si>
    <t>NOT JUST FEED COSTS</t>
  </si>
  <si>
    <t>Background Yearlings (750-1100 pounds)</t>
  </si>
  <si>
    <t xml:space="preserve">cost of commercial trucking OR miles per gallon </t>
  </si>
  <si>
    <t>on your pickup/tractor trailer. Mileage is for one animal.</t>
  </si>
  <si>
    <t xml:space="preserve">The feeds listed are general feed stuffs. This is </t>
  </si>
  <si>
    <t xml:space="preserve">a balanced ration for steer calves. Please enter </t>
  </si>
  <si>
    <t xml:space="preserve">the feeds you are using in your own ration to </t>
  </si>
  <si>
    <t xml:space="preserve">increase the accuracy of the budget. </t>
  </si>
  <si>
    <t>Cost of Animal ($/CWT)</t>
  </si>
  <si>
    <t>Cost of Gain ($/Day)</t>
  </si>
  <si>
    <t>Finish Yearlings 1100-1400#</t>
  </si>
  <si>
    <t>BREAKEVEN SELLING PRICE FOR YEARLING</t>
  </si>
  <si>
    <t>BREAKEVEN PURCHASE PRICE FOR FEEDER CALF</t>
  </si>
  <si>
    <t xml:space="preserve">South Dakota State University Extension is an equal opportunity provider and employer in accordance </t>
  </si>
  <si>
    <t xml:space="preserve">with the nondiscrimination policies of South Dakota State University, the South Dakota Board of Regents </t>
  </si>
  <si>
    <t xml:space="preserve">and the United States Department of Agriculture. </t>
  </si>
  <si>
    <r>
      <rPr>
        <sz val="12"/>
        <color theme="1"/>
        <rFont val="Arial"/>
        <family val="2"/>
      </rPr>
      <t xml:space="preserve">Learn more at </t>
    </r>
    <r>
      <rPr>
        <u/>
        <sz val="12"/>
        <color theme="10"/>
        <rFont val="Arial"/>
        <family val="2"/>
      </rPr>
      <t>extension.sdstate.edu.</t>
    </r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</si>
  <si>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</si>
  <si>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</si>
  <si>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</si>
  <si>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</si>
  <si>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</si>
  <si>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</si>
  <si>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</si>
  <si>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</si>
  <si>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</si>
  <si>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</si>
  <si>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</si>
  <si>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>Added Feedstuff #1</t>
  </si>
  <si>
    <t>Added Feedstuff #2</t>
  </si>
  <si>
    <t>Added Feedstuff #4</t>
  </si>
  <si>
    <t>Added Feedstuff #3</t>
  </si>
  <si>
    <t xml:space="preserve">All rations used in the sample budgets are there to assist the producer by providing an example </t>
  </si>
  <si>
    <t xml:space="preserve">ration. These rations are not guaranteed to provide the results indicated. Producers MUST enter </t>
  </si>
  <si>
    <t xml:space="preserve">their own feed rations and prices into the file in order to make beneficial decisions. </t>
  </si>
  <si>
    <t xml:space="preserve">A list of 'common' feedstuffs are listed to help you get started. If you need to substitute a different </t>
  </si>
  <si>
    <t xml:space="preserve">of Modified Distillers-type in Wheat Mids in that line and fill in the $ per ton rate. </t>
  </si>
  <si>
    <t>V.CHANGE IN INCOME PER COW WITH 5% IMPROVEMENT IN WEANING PERCENTAGE</t>
  </si>
  <si>
    <t>SDSU Extension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</si>
</sst>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_)"/>
    <numFmt numFmtId="166" formatCode="0.0_)"/>
    <numFmt numFmtId="167" formatCode="&quot;$&quot;#,##0.00"/>
    <numFmt numFmtId="168" formatCode="[$-409]mmmm\ d\,\ yyyy;@"/>
    <numFmt numFmtId="169" formatCode="_([$$-409]* #,##0.00_);_([$$-409]* \(#,##0.00\);_([$$-409]* &quot;-&quot;??_);_(@_)"/>
  </numFmts>
  <fonts count="29">
    <font>
      <sz val="10"/>
      <name val="Courier"/>
    </font>
    <font>
      <sz val="11"/>
      <color theme="1"/>
      <name val="Calibri"/>
      <family val="2"/>
      <scheme val="minor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6"/>
      <color rgb="FF003087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4"/>
      <color rgb="FF003087"/>
      <name val="Arial"/>
      <family val="2"/>
    </font>
    <font>
      <sz val="14"/>
      <name val="Arial"/>
      <family val="2"/>
    </font>
    <font>
      <b/>
      <sz val="14"/>
      <color rgb="FF0034A7"/>
      <name val="Arial"/>
      <family val="2"/>
    </font>
    <font>
      <b/>
      <sz val="12"/>
      <color rgb="FF0034A7"/>
      <name val="Arial"/>
      <family val="2"/>
    </font>
    <font>
      <u/>
      <sz val="10"/>
      <color theme="10"/>
      <name val="Courier"/>
      <family val="1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6"/>
      <color rgb="FF0034A7"/>
      <name val="Arial"/>
      <family val="2"/>
    </font>
    <font>
      <sz val="14"/>
      <color theme="1"/>
      <name val="Arial"/>
      <family val="2"/>
    </font>
    <font>
      <b/>
      <sz val="26"/>
      <color rgb="FF0034A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D1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164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164" fontId="22" fillId="0" borderId="0" applyNumberFormat="0" applyFill="0" applyBorder="0" applyAlignment="0" applyProtection="0"/>
  </cellStyleXfs>
  <cellXfs count="216">
    <xf numFmtId="164" fontId="0" fillId="0" borderId="0" xfId="0"/>
    <xf numFmtId="164" fontId="3" fillId="0" borderId="0" xfId="0" applyFont="1"/>
    <xf numFmtId="164" fontId="3" fillId="0" borderId="0" xfId="0" applyFont="1" applyAlignment="1">
      <alignment horizontal="right"/>
    </xf>
    <xf numFmtId="164" fontId="3" fillId="0" borderId="0" xfId="0" quotePrefix="1" applyFont="1"/>
    <xf numFmtId="164" fontId="8" fillId="0" borderId="0" xfId="0" applyFont="1"/>
    <xf numFmtId="164" fontId="8" fillId="0" borderId="0" xfId="0" applyFont="1" applyAlignment="1">
      <alignment wrapText="1"/>
    </xf>
    <xf numFmtId="164" fontId="8" fillId="0" borderId="0" xfId="0" applyFont="1" applyAlignment="1">
      <alignment horizontal="center" wrapText="1"/>
    </xf>
    <xf numFmtId="164" fontId="8" fillId="0" borderId="0" xfId="0" applyFont="1" applyAlignment="1">
      <alignment horizontal="right"/>
    </xf>
    <xf numFmtId="164" fontId="8" fillId="0" borderId="1" xfId="0" applyFont="1" applyBorder="1"/>
    <xf numFmtId="164" fontId="11" fillId="0" borderId="0" xfId="0" applyFont="1" applyProtection="1">
      <protection locked="0"/>
    </xf>
    <xf numFmtId="164" fontId="11" fillId="0" borderId="1" xfId="0" applyFont="1" applyBorder="1" applyProtection="1">
      <protection locked="0"/>
    </xf>
    <xf numFmtId="164" fontId="8" fillId="0" borderId="0" xfId="0" applyFont="1" applyAlignment="1">
      <alignment horizontal="center"/>
    </xf>
    <xf numFmtId="164" fontId="12" fillId="3" borderId="0" xfId="0" applyFont="1" applyFill="1" applyProtection="1">
      <protection locked="0"/>
    </xf>
    <xf numFmtId="167" fontId="12" fillId="3" borderId="0" xfId="1" applyNumberFormat="1" applyFont="1" applyFill="1" applyProtection="1">
      <protection locked="0"/>
    </xf>
    <xf numFmtId="164" fontId="12" fillId="3" borderId="1" xfId="0" applyFont="1" applyFill="1" applyBorder="1" applyProtection="1">
      <protection locked="0"/>
    </xf>
    <xf numFmtId="167" fontId="12" fillId="3" borderId="1" xfId="1" applyNumberFormat="1" applyFont="1" applyFill="1" applyBorder="1" applyProtection="1">
      <protection locked="0"/>
    </xf>
    <xf numFmtId="14" fontId="12" fillId="3" borderId="0" xfId="0" applyNumberFormat="1" applyFont="1" applyFill="1" applyProtection="1">
      <protection locked="0"/>
    </xf>
    <xf numFmtId="164" fontId="8" fillId="0" borderId="0" xfId="0" applyFont="1" applyAlignment="1">
      <alignment vertical="center" wrapText="1"/>
    </xf>
    <xf numFmtId="0" fontId="12" fillId="0" borderId="0" xfId="5" applyFont="1"/>
    <xf numFmtId="0" fontId="8" fillId="0" borderId="0" xfId="3" applyFont="1"/>
    <xf numFmtId="0" fontId="8" fillId="0" borderId="0" xfId="5" applyFont="1"/>
    <xf numFmtId="164" fontId="13" fillId="0" borderId="0" xfId="0" applyFont="1" applyAlignment="1">
      <alignment wrapText="1"/>
    </xf>
    <xf numFmtId="168" fontId="8" fillId="0" borderId="0" xfId="0" applyNumberFormat="1" applyFont="1"/>
    <xf numFmtId="164" fontId="8" fillId="0" borderId="0" xfId="0" applyFont="1" applyAlignment="1">
      <alignment horizontal="left"/>
    </xf>
    <xf numFmtId="164" fontId="12" fillId="0" borderId="3" xfId="0" applyFont="1" applyBorder="1" applyAlignment="1">
      <alignment horizontal="left"/>
    </xf>
    <xf numFmtId="164" fontId="8" fillId="0" borderId="3" xfId="0" applyFont="1" applyBorder="1"/>
    <xf numFmtId="164" fontId="12" fillId="0" borderId="0" xfId="0" applyFont="1" applyAlignment="1">
      <alignment horizontal="left"/>
    </xf>
    <xf numFmtId="164" fontId="12" fillId="0" borderId="0" xfId="0" applyFont="1"/>
    <xf numFmtId="164" fontId="8" fillId="0" borderId="0" xfId="0" quotePrefix="1" applyFont="1" applyAlignment="1">
      <alignment horizontal="center"/>
    </xf>
    <xf numFmtId="164" fontId="14" fillId="0" borderId="0" xfId="0" applyFont="1"/>
    <xf numFmtId="165" fontId="12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/>
    </xf>
    <xf numFmtId="0" fontId="11" fillId="0" borderId="0" xfId="0" applyNumberFormat="1" applyFont="1" applyProtection="1">
      <protection locked="0"/>
    </xf>
    <xf numFmtId="0" fontId="9" fillId="0" borderId="0" xfId="0" applyNumberFormat="1" applyFont="1" applyProtection="1">
      <protection locked="0"/>
    </xf>
    <xf numFmtId="164" fontId="8" fillId="0" borderId="1" xfId="0" quotePrefix="1" applyFont="1" applyBorder="1" applyAlignment="1">
      <alignment horizontal="center"/>
    </xf>
    <xf numFmtId="44" fontId="12" fillId="0" borderId="0" xfId="1" applyFont="1" applyProtection="1"/>
    <xf numFmtId="164" fontId="14" fillId="0" borderId="0" xfId="0" applyFont="1" applyAlignment="1">
      <alignment wrapText="1"/>
    </xf>
    <xf numFmtId="164" fontId="12" fillId="0" borderId="1" xfId="0" applyFont="1" applyBorder="1"/>
    <xf numFmtId="164" fontId="8" fillId="0" borderId="1" xfId="0" applyFont="1" applyBorder="1" applyAlignment="1">
      <alignment horizontal="left"/>
    </xf>
    <xf numFmtId="44" fontId="12" fillId="0" borderId="1" xfId="1" applyFont="1" applyBorder="1" applyProtection="1"/>
    <xf numFmtId="44" fontId="11" fillId="0" borderId="0" xfId="1" applyFont="1" applyBorder="1" applyProtection="1">
      <protection locked="0"/>
    </xf>
    <xf numFmtId="164" fontId="8" fillId="2" borderId="1" xfId="0" applyFont="1" applyFill="1" applyBorder="1"/>
    <xf numFmtId="167" fontId="8" fillId="0" borderId="0" xfId="0" applyNumberFormat="1" applyFont="1"/>
    <xf numFmtId="7" fontId="8" fillId="0" borderId="0" xfId="0" applyNumberFormat="1" applyFont="1"/>
    <xf numFmtId="44" fontId="8" fillId="0" borderId="0" xfId="1" applyFont="1"/>
    <xf numFmtId="44" fontId="8" fillId="0" borderId="1" xfId="1" applyFont="1" applyBorder="1"/>
    <xf numFmtId="7" fontId="12" fillId="0" borderId="0" xfId="0" applyNumberFormat="1" applyFont="1"/>
    <xf numFmtId="0" fontId="8" fillId="0" borderId="0" xfId="0" quotePrefix="1" applyNumberFormat="1" applyFont="1" applyAlignment="1">
      <alignment horizontal="center"/>
    </xf>
    <xf numFmtId="5" fontId="8" fillId="0" borderId="0" xfId="0" applyNumberFormat="1" applyFont="1"/>
    <xf numFmtId="165" fontId="8" fillId="0" borderId="0" xfId="0" applyNumberFormat="1" applyFont="1" applyAlignment="1">
      <alignment horizontal="center"/>
    </xf>
    <xf numFmtId="169" fontId="8" fillId="0" borderId="0" xfId="0" applyNumberFormat="1" applyFont="1"/>
    <xf numFmtId="164" fontId="8" fillId="0" borderId="0" xfId="0" applyFont="1" applyAlignment="1">
      <alignment vertical="top" wrapText="1"/>
    </xf>
    <xf numFmtId="164" fontId="8" fillId="0" borderId="0" xfId="0" applyFont="1" applyAlignment="1">
      <alignment horizontal="fill"/>
    </xf>
    <xf numFmtId="164" fontId="8" fillId="0" borderId="0" xfId="0" quotePrefix="1" applyFont="1" applyAlignment="1">
      <alignment horizontal="right"/>
    </xf>
    <xf numFmtId="9" fontId="8" fillId="0" borderId="0" xfId="0" applyNumberFormat="1" applyFont="1" applyAlignment="1">
      <alignment horizontal="right"/>
    </xf>
    <xf numFmtId="7" fontId="8" fillId="0" borderId="0" xfId="1" applyNumberFormat="1" applyFont="1" applyProtection="1"/>
    <xf numFmtId="44" fontId="8" fillId="0" borderId="12" xfId="1" applyFont="1" applyBorder="1" applyProtection="1"/>
    <xf numFmtId="44" fontId="12" fillId="0" borderId="7" xfId="1" applyFont="1" applyBorder="1" applyProtection="1"/>
    <xf numFmtId="7" fontId="8" fillId="0" borderId="0" xfId="0" applyNumberFormat="1" applyFont="1" applyAlignment="1">
      <alignment horizontal="fill"/>
    </xf>
    <xf numFmtId="44" fontId="8" fillId="0" borderId="6" xfId="1" applyFont="1" applyBorder="1"/>
    <xf numFmtId="44" fontId="8" fillId="0" borderId="1" xfId="0" applyNumberFormat="1" applyFont="1" applyBorder="1"/>
    <xf numFmtId="7" fontId="8" fillId="0" borderId="0" xfId="0" applyNumberFormat="1" applyFont="1" applyAlignment="1">
      <alignment horizontal="center" wrapText="1"/>
    </xf>
    <xf numFmtId="44" fontId="8" fillId="0" borderId="5" xfId="0" applyNumberFormat="1" applyFont="1" applyBorder="1" applyAlignment="1">
      <alignment horizontal="left"/>
    </xf>
    <xf numFmtId="44" fontId="8" fillId="0" borderId="0" xfId="1" applyFont="1" applyAlignment="1" applyProtection="1">
      <alignment horizontal="right"/>
    </xf>
    <xf numFmtId="169" fontId="12" fillId="3" borderId="0" xfId="0" applyNumberFormat="1" applyFont="1" applyFill="1" applyProtection="1">
      <protection locked="0"/>
    </xf>
    <xf numFmtId="44" fontId="12" fillId="3" borderId="0" xfId="1" applyFont="1" applyFill="1" applyBorder="1" applyProtection="1">
      <protection locked="0"/>
    </xf>
    <xf numFmtId="0" fontId="12" fillId="3" borderId="0" xfId="2" applyNumberFormat="1" applyFont="1" applyFill="1" applyProtection="1">
      <protection locked="0"/>
    </xf>
    <xf numFmtId="44" fontId="12" fillId="3" borderId="0" xfId="1" applyFont="1" applyFill="1" applyProtection="1">
      <protection locked="0"/>
    </xf>
    <xf numFmtId="0" fontId="12" fillId="3" borderId="0" xfId="0" applyNumberFormat="1" applyFont="1" applyFill="1" applyProtection="1">
      <protection locked="0"/>
    </xf>
    <xf numFmtId="0" fontId="12" fillId="3" borderId="0" xfId="0" applyNumberFormat="1" applyFont="1" applyFill="1" applyAlignment="1" applyProtection="1">
      <alignment horizontal="right"/>
      <protection locked="0"/>
    </xf>
    <xf numFmtId="9" fontId="12" fillId="3" borderId="0" xfId="2" applyFont="1" applyFill="1" applyAlignment="1" applyProtection="1">
      <alignment horizontal="right"/>
      <protection locked="0"/>
    </xf>
    <xf numFmtId="44" fontId="12" fillId="3" borderId="0" xfId="1" applyFont="1" applyFill="1" applyAlignment="1" applyProtection="1">
      <alignment horizontal="left"/>
      <protection locked="0"/>
    </xf>
    <xf numFmtId="44" fontId="12" fillId="3" borderId="11" xfId="1" applyFont="1" applyFill="1" applyBorder="1" applyProtection="1">
      <protection locked="0"/>
    </xf>
    <xf numFmtId="165" fontId="12" fillId="3" borderId="0" xfId="0" applyNumberFormat="1" applyFont="1" applyFill="1" applyProtection="1">
      <protection locked="0"/>
    </xf>
    <xf numFmtId="165" fontId="12" fillId="3" borderId="11" xfId="0" applyNumberFormat="1" applyFont="1" applyFill="1" applyBorder="1" applyProtection="1">
      <protection locked="0"/>
    </xf>
    <xf numFmtId="165" fontId="12" fillId="3" borderId="1" xfId="0" applyNumberFormat="1" applyFont="1" applyFill="1" applyBorder="1" applyProtection="1">
      <protection locked="0"/>
    </xf>
    <xf numFmtId="164" fontId="12" fillId="0" borderId="0" xfId="0" applyFont="1" applyAlignment="1">
      <alignment vertical="top"/>
    </xf>
    <xf numFmtId="44" fontId="12" fillId="0" borderId="0" xfId="1" applyFont="1" applyBorder="1" applyProtection="1"/>
    <xf numFmtId="164" fontId="14" fillId="0" borderId="0" xfId="0" quotePrefix="1" applyFont="1" applyAlignment="1">
      <alignment wrapText="1"/>
    </xf>
    <xf numFmtId="164" fontId="12" fillId="3" borderId="0" xfId="0" applyFont="1" applyFill="1" applyAlignment="1" applyProtection="1">
      <alignment horizontal="right"/>
      <protection locked="0"/>
    </xf>
    <xf numFmtId="164" fontId="8" fillId="0" borderId="0" xfId="0" applyFont="1" applyProtection="1">
      <protection locked="0"/>
    </xf>
    <xf numFmtId="165" fontId="9" fillId="0" borderId="0" xfId="0" applyNumberFormat="1" applyFont="1" applyProtection="1">
      <protection locked="0"/>
    </xf>
    <xf numFmtId="44" fontId="9" fillId="0" borderId="0" xfId="1" applyFont="1" applyFill="1"/>
    <xf numFmtId="44" fontId="8" fillId="0" borderId="0" xfId="1" applyFont="1" applyBorder="1"/>
    <xf numFmtId="7" fontId="12" fillId="0" borderId="7" xfId="0" applyNumberFormat="1" applyFont="1" applyBorder="1"/>
    <xf numFmtId="44" fontId="12" fillId="0" borderId="0" xfId="1" applyFont="1" applyFill="1" applyProtection="1"/>
    <xf numFmtId="44" fontId="8" fillId="0" borderId="0" xfId="1" applyFont="1" applyFill="1"/>
    <xf numFmtId="44" fontId="8" fillId="0" borderId="12" xfId="1" applyFont="1" applyFill="1" applyBorder="1"/>
    <xf numFmtId="44" fontId="12" fillId="0" borderId="0" xfId="1" applyFont="1" applyFill="1"/>
    <xf numFmtId="9" fontId="12" fillId="0" borderId="0" xfId="2" applyFont="1" applyBorder="1"/>
    <xf numFmtId="164" fontId="8" fillId="0" borderId="2" xfId="0" applyFont="1" applyBorder="1" applyAlignment="1">
      <alignment horizontal="left"/>
    </xf>
    <xf numFmtId="164" fontId="8" fillId="0" borderId="1" xfId="0" applyFont="1" applyBorder="1" applyAlignment="1">
      <alignment horizontal="right"/>
    </xf>
    <xf numFmtId="1" fontId="8" fillId="0" borderId="5" xfId="0" applyNumberFormat="1" applyFont="1" applyBorder="1" applyAlignment="1">
      <alignment horizontal="right"/>
    </xf>
    <xf numFmtId="0" fontId="8" fillId="0" borderId="5" xfId="0" applyNumberFormat="1" applyFont="1" applyBorder="1" applyAlignment="1">
      <alignment horizontal="right"/>
    </xf>
    <xf numFmtId="165" fontId="12" fillId="3" borderId="0" xfId="0" applyNumberFormat="1" applyFont="1" applyFill="1" applyAlignment="1" applyProtection="1">
      <alignment horizontal="right"/>
      <protection locked="0"/>
    </xf>
    <xf numFmtId="44" fontId="7" fillId="0" borderId="0" xfId="1" applyFont="1" applyProtection="1"/>
    <xf numFmtId="165" fontId="8" fillId="0" borderId="0" xfId="0" applyNumberFormat="1" applyFont="1"/>
    <xf numFmtId="166" fontId="8" fillId="0" borderId="0" xfId="0" applyNumberFormat="1" applyFont="1"/>
    <xf numFmtId="164" fontId="12" fillId="0" borderId="3" xfId="0" applyFont="1" applyBorder="1"/>
    <xf numFmtId="164" fontId="12" fillId="0" borderId="0" xfId="0" applyFont="1" applyProtection="1">
      <protection locked="0"/>
    </xf>
    <xf numFmtId="164" fontId="8" fillId="0" borderId="0" xfId="0" quotePrefix="1" applyFont="1"/>
    <xf numFmtId="7" fontId="11" fillId="0" borderId="0" xfId="0" applyNumberFormat="1" applyFont="1" applyProtection="1">
      <protection locked="0"/>
    </xf>
    <xf numFmtId="164" fontId="11" fillId="2" borderId="0" xfId="0" applyFont="1" applyFill="1" applyProtection="1">
      <protection locked="0"/>
    </xf>
    <xf numFmtId="44" fontId="8" fillId="0" borderId="0" xfId="1" applyFont="1" applyProtection="1"/>
    <xf numFmtId="7" fontId="8" fillId="0" borderId="0" xfId="0" applyNumberFormat="1" applyFont="1" applyAlignment="1">
      <alignment horizontal="left"/>
    </xf>
    <xf numFmtId="44" fontId="8" fillId="0" borderId="0" xfId="1" applyFont="1" applyBorder="1" applyProtection="1"/>
    <xf numFmtId="44" fontId="8" fillId="0" borderId="7" xfId="1" applyFont="1" applyBorder="1" applyProtection="1"/>
    <xf numFmtId="44" fontId="8" fillId="0" borderId="0" xfId="1" applyFont="1" applyFill="1" applyBorder="1" applyProtection="1"/>
    <xf numFmtId="44" fontId="8" fillId="0" borderId="0" xfId="1" applyFont="1" applyFill="1" applyProtection="1"/>
    <xf numFmtId="44" fontId="8" fillId="0" borderId="4" xfId="1" applyFont="1" applyBorder="1" applyProtection="1"/>
    <xf numFmtId="10" fontId="8" fillId="0" borderId="0" xfId="0" applyNumberFormat="1" applyFont="1"/>
    <xf numFmtId="164" fontId="8" fillId="0" borderId="7" xfId="0" applyFont="1" applyBorder="1"/>
    <xf numFmtId="44" fontId="8" fillId="0" borderId="13" xfId="1" applyFont="1" applyBorder="1" applyProtection="1"/>
    <xf numFmtId="7" fontId="8" fillId="0" borderId="0" xfId="0" applyNumberFormat="1" applyFont="1" applyAlignment="1">
      <alignment horizontal="center"/>
    </xf>
    <xf numFmtId="7" fontId="8" fillId="0" borderId="6" xfId="0" applyNumberFormat="1" applyFont="1" applyBorder="1" applyAlignment="1">
      <alignment horizontal="left"/>
    </xf>
    <xf numFmtId="7" fontId="8" fillId="0" borderId="1" xfId="0" applyNumberFormat="1" applyFont="1" applyBorder="1" applyAlignment="1">
      <alignment horizontal="left"/>
    </xf>
    <xf numFmtId="7" fontId="12" fillId="0" borderId="0" xfId="0" applyNumberFormat="1" applyFont="1" applyAlignment="1">
      <alignment horizontal="left"/>
    </xf>
    <xf numFmtId="7" fontId="12" fillId="0" borderId="0" xfId="0" applyNumberFormat="1" applyFont="1" applyAlignment="1">
      <alignment horizontal="center"/>
    </xf>
    <xf numFmtId="7" fontId="8" fillId="0" borderId="5" xfId="0" applyNumberFormat="1" applyFont="1" applyBorder="1" applyAlignment="1">
      <alignment horizontal="right"/>
    </xf>
    <xf numFmtId="164" fontId="8" fillId="0" borderId="2" xfId="0" applyFont="1" applyBorder="1"/>
    <xf numFmtId="7" fontId="8" fillId="0" borderId="5" xfId="0" applyNumberFormat="1" applyFont="1" applyBorder="1"/>
    <xf numFmtId="164" fontId="8" fillId="0" borderId="2" xfId="0" applyFont="1" applyBorder="1" applyAlignment="1">
      <alignment horizontal="right"/>
    </xf>
    <xf numFmtId="164" fontId="8" fillId="0" borderId="0" xfId="0" quotePrefix="1" applyFont="1" applyAlignment="1">
      <alignment horizontal="center" shrinkToFit="1"/>
    </xf>
    <xf numFmtId="164" fontId="8" fillId="0" borderId="0" xfId="0" quotePrefix="1" applyFont="1" applyAlignment="1">
      <alignment horizontal="left"/>
    </xf>
    <xf numFmtId="166" fontId="12" fillId="3" borderId="0" xfId="0" applyNumberFormat="1" applyFont="1" applyFill="1" applyProtection="1">
      <protection locked="0"/>
    </xf>
    <xf numFmtId="164" fontId="8" fillId="0" borderId="0" xfId="0" applyFont="1" applyAlignment="1">
      <alignment shrinkToFit="1"/>
    </xf>
    <xf numFmtId="164" fontId="15" fillId="0" borderId="0" xfId="0" applyFont="1" applyAlignment="1">
      <alignment vertical="top"/>
    </xf>
    <xf numFmtId="166" fontId="8" fillId="0" borderId="0" xfId="0" applyNumberFormat="1" applyFont="1" applyAlignment="1">
      <alignment horizontal="center"/>
    </xf>
    <xf numFmtId="164" fontId="16" fillId="0" borderId="0" xfId="0" applyFont="1" applyProtection="1">
      <protection locked="0"/>
    </xf>
    <xf numFmtId="7" fontId="16" fillId="0" borderId="0" xfId="0" applyNumberFormat="1" applyFont="1" applyProtection="1">
      <protection locked="0"/>
    </xf>
    <xf numFmtId="164" fontId="8" fillId="0" borderId="10" xfId="0" applyFont="1" applyBorder="1" applyProtection="1">
      <protection hidden="1"/>
    </xf>
    <xf numFmtId="164" fontId="8" fillId="0" borderId="9" xfId="0" applyFont="1" applyBorder="1" applyProtection="1">
      <protection hidden="1"/>
    </xf>
    <xf numFmtId="164" fontId="10" fillId="0" borderId="0" xfId="0" applyFont="1"/>
    <xf numFmtId="164" fontId="8" fillId="0" borderId="8" xfId="0" applyFont="1" applyBorder="1"/>
    <xf numFmtId="164" fontId="8" fillId="0" borderId="8" xfId="0" applyFont="1" applyBorder="1" applyAlignment="1">
      <alignment horizontal="left"/>
    </xf>
    <xf numFmtId="164" fontId="8" fillId="0" borderId="1" xfId="0" applyFont="1" applyBorder="1" applyProtection="1"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16" fillId="0" borderId="0" xfId="0" applyFont="1"/>
    <xf numFmtId="164" fontId="16" fillId="0" borderId="0" xfId="0" applyFont="1" applyAlignment="1" applyProtection="1">
      <alignment horizontal="right"/>
      <protection locked="0"/>
    </xf>
    <xf numFmtId="44" fontId="8" fillId="0" borderId="0" xfId="1" applyFont="1" applyAlignment="1" applyProtection="1">
      <alignment horizontal="center"/>
    </xf>
    <xf numFmtId="44" fontId="8" fillId="0" borderId="1" xfId="1" applyFont="1" applyBorder="1" applyProtection="1"/>
    <xf numFmtId="44" fontId="8" fillId="0" borderId="5" xfId="1" applyFont="1" applyBorder="1" applyAlignment="1" applyProtection="1">
      <alignment horizontal="left"/>
    </xf>
    <xf numFmtId="44" fontId="8" fillId="0" borderId="5" xfId="1" applyFont="1" applyBorder="1" applyProtection="1"/>
    <xf numFmtId="164" fontId="8" fillId="0" borderId="0" xfId="0" applyFont="1" applyAlignment="1" applyProtection="1">
      <alignment horizontal="left"/>
      <protection locked="0"/>
    </xf>
    <xf numFmtId="164" fontId="8" fillId="0" borderId="0" xfId="0" quotePrefix="1" applyFont="1" applyAlignment="1">
      <alignment shrinkToFit="1"/>
    </xf>
    <xf numFmtId="167" fontId="12" fillId="0" borderId="0" xfId="0" applyNumberFormat="1" applyFont="1"/>
    <xf numFmtId="164" fontId="9" fillId="2" borderId="1" xfId="0" applyFont="1" applyFill="1" applyBorder="1" applyProtection="1">
      <protection locked="0"/>
    </xf>
    <xf numFmtId="7" fontId="8" fillId="0" borderId="7" xfId="0" applyNumberFormat="1" applyFont="1" applyBorder="1"/>
    <xf numFmtId="7" fontId="8" fillId="0" borderId="4" xfId="0" applyNumberFormat="1" applyFont="1" applyBorder="1"/>
    <xf numFmtId="7" fontId="8" fillId="0" borderId="13" xfId="0" applyNumberFormat="1" applyFont="1" applyBorder="1"/>
    <xf numFmtId="7" fontId="12" fillId="3" borderId="0" xfId="0" applyNumberFormat="1" applyFont="1" applyFill="1" applyProtection="1">
      <protection locked="0"/>
    </xf>
    <xf numFmtId="164" fontId="8" fillId="0" borderId="1" xfId="0" applyFont="1" applyBorder="1" applyAlignment="1">
      <alignment wrapText="1"/>
    </xf>
    <xf numFmtId="7" fontId="12" fillId="0" borderId="0" xfId="0" applyNumberFormat="1" applyFont="1" applyProtection="1">
      <protection locked="0"/>
    </xf>
    <xf numFmtId="164" fontId="14" fillId="0" borderId="0" xfId="0" applyFont="1" applyAlignment="1">
      <alignment horizontal="left"/>
    </xf>
    <xf numFmtId="164" fontId="9" fillId="0" borderId="0" xfId="0" applyFont="1" applyProtection="1">
      <protection locked="0"/>
    </xf>
    <xf numFmtId="7" fontId="12" fillId="3" borderId="1" xfId="0" applyNumberFormat="1" applyFont="1" applyFill="1" applyBorder="1" applyProtection="1">
      <protection locked="0"/>
    </xf>
    <xf numFmtId="44" fontId="12" fillId="0" borderId="4" xfId="1" applyFont="1" applyBorder="1" applyProtection="1"/>
    <xf numFmtId="44" fontId="8" fillId="0" borderId="7" xfId="1" applyFont="1" applyBorder="1"/>
    <xf numFmtId="44" fontId="12" fillId="0" borderId="13" xfId="1" applyFont="1" applyBorder="1" applyProtection="1"/>
    <xf numFmtId="164" fontId="8" fillId="0" borderId="1" xfId="0" applyFont="1" applyBorder="1" applyAlignment="1">
      <alignment horizontal="center" wrapText="1"/>
    </xf>
    <xf numFmtId="7" fontId="8" fillId="0" borderId="5" xfId="0" applyNumberFormat="1" applyFont="1" applyBorder="1" applyAlignment="1">
      <alignment horizontal="right" wrapText="1"/>
    </xf>
    <xf numFmtId="7" fontId="8" fillId="0" borderId="1" xfId="0" applyNumberFormat="1" applyFont="1" applyBorder="1" applyAlignment="1">
      <alignment horizontal="right"/>
    </xf>
    <xf numFmtId="7" fontId="8" fillId="0" borderId="0" xfId="0" applyNumberFormat="1" applyFont="1" applyAlignment="1">
      <alignment horizontal="right"/>
    </xf>
    <xf numFmtId="164" fontId="17" fillId="0" borderId="0" xfId="0" applyFont="1"/>
    <xf numFmtId="164" fontId="17" fillId="0" borderId="0" xfId="0" applyFont="1" applyAlignment="1">
      <alignment horizontal="centerContinuous"/>
    </xf>
    <xf numFmtId="0" fontId="8" fillId="0" borderId="0" xfId="5" applyFont="1" applyAlignment="1">
      <alignment vertical="top"/>
    </xf>
    <xf numFmtId="164" fontId="8" fillId="0" borderId="0" xfId="0" applyFont="1" applyAlignment="1">
      <alignment vertical="top"/>
    </xf>
    <xf numFmtId="164" fontId="13" fillId="0" borderId="0" xfId="0" applyFont="1" applyAlignment="1">
      <alignment vertical="top"/>
    </xf>
    <xf numFmtId="164" fontId="13" fillId="0" borderId="0" xfId="0" applyFont="1" applyAlignment="1">
      <alignment horizontal="centerContinuous" vertical="top"/>
    </xf>
    <xf numFmtId="164" fontId="8" fillId="0" borderId="1" xfId="0" applyFont="1" applyBorder="1" applyAlignment="1">
      <alignment horizontal="center"/>
    </xf>
    <xf numFmtId="164" fontId="18" fillId="0" borderId="0" xfId="0" applyFont="1" applyAlignment="1">
      <alignment vertical="top"/>
    </xf>
    <xf numFmtId="164" fontId="18" fillId="0" borderId="0" xfId="0" applyFont="1" applyAlignment="1">
      <alignment horizontal="centerContinuous" vertical="top"/>
    </xf>
    <xf numFmtId="168" fontId="8" fillId="0" borderId="0" xfId="0" applyNumberFormat="1" applyFont="1" applyAlignment="1">
      <alignment horizontal="centerContinuous" vertical="top"/>
    </xf>
    <xf numFmtId="164" fontId="14" fillId="0" borderId="0" xfId="0" applyFont="1" applyAlignment="1">
      <alignment vertical="top"/>
    </xf>
    <xf numFmtId="164" fontId="14" fillId="0" borderId="0" xfId="0" applyFont="1" applyAlignment="1">
      <alignment horizontal="centerContinuous"/>
    </xf>
    <xf numFmtId="168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wrapText="1"/>
    </xf>
    <xf numFmtId="7" fontId="8" fillId="0" borderId="5" xfId="0" applyNumberFormat="1" applyFont="1" applyBorder="1" applyAlignment="1">
      <alignment wrapText="1"/>
    </xf>
    <xf numFmtId="7" fontId="8" fillId="0" borderId="1" xfId="0" applyNumberFormat="1" applyFont="1" applyBorder="1" applyAlignment="1">
      <alignment wrapText="1"/>
    </xf>
    <xf numFmtId="7" fontId="8" fillId="0" borderId="2" xfId="0" applyNumberFormat="1" applyFont="1" applyBorder="1" applyAlignment="1">
      <alignment wrapText="1"/>
    </xf>
    <xf numFmtId="164" fontId="8" fillId="0" borderId="0" xfId="0" applyFont="1" applyAlignment="1">
      <alignment horizontal="centerContinuous"/>
    </xf>
    <xf numFmtId="164" fontId="14" fillId="0" borderId="0" xfId="0" quotePrefix="1" applyFont="1"/>
    <xf numFmtId="164" fontId="8" fillId="0" borderId="1" xfId="0" applyFont="1" applyBorder="1" applyAlignment="1">
      <alignment horizontal="left" wrapText="1"/>
    </xf>
    <xf numFmtId="164" fontId="8" fillId="0" borderId="1" xfId="0" applyFont="1" applyBorder="1" applyAlignment="1">
      <alignment horizontal="right" wrapText="1"/>
    </xf>
    <xf numFmtId="7" fontId="8" fillId="0" borderId="8" xfId="0" applyNumberFormat="1" applyFont="1" applyBorder="1"/>
    <xf numFmtId="164" fontId="13" fillId="0" borderId="0" xfId="0" applyFont="1" applyAlignment="1">
      <alignment vertical="top" wrapText="1"/>
    </xf>
    <xf numFmtId="164" fontId="18" fillId="0" borderId="0" xfId="0" applyFont="1" applyAlignment="1">
      <alignment horizontal="centerContinuous" vertical="top" wrapText="1"/>
    </xf>
    <xf numFmtId="164" fontId="8" fillId="0" borderId="2" xfId="0" applyFont="1" applyBorder="1" applyAlignment="1">
      <alignment horizontal="right" wrapText="1"/>
    </xf>
    <xf numFmtId="164" fontId="19" fillId="0" borderId="0" xfId="0" applyFont="1"/>
    <xf numFmtId="164" fontId="20" fillId="0" borderId="0" xfId="0" applyFont="1" applyAlignment="1">
      <alignment horizontal="centerContinuous" vertical="top"/>
    </xf>
    <xf numFmtId="164" fontId="21" fillId="0" borderId="0" xfId="0" applyFont="1" applyProtection="1">
      <protection locked="0"/>
    </xf>
    <xf numFmtId="164" fontId="8" fillId="0" borderId="0" xfId="0" applyFont="1" applyAlignment="1">
      <alignment horizontal="left" vertical="top"/>
    </xf>
    <xf numFmtId="164" fontId="23" fillId="0" borderId="0" xfId="11" applyFont="1" applyBorder="1" applyAlignment="1">
      <alignment horizontal="left" vertical="top"/>
    </xf>
    <xf numFmtId="14" fontId="25" fillId="0" borderId="0" xfId="5" applyNumberFormat="1" applyFont="1"/>
    <xf numFmtId="164" fontId="26" fillId="0" borderId="0" xfId="0" applyFont="1" applyAlignment="1">
      <alignment horizontal="centerContinuous"/>
    </xf>
    <xf numFmtId="164" fontId="20" fillId="0" borderId="0" xfId="0" applyFont="1" applyAlignment="1">
      <alignment horizontal="centerContinuous"/>
    </xf>
    <xf numFmtId="167" fontId="8" fillId="0" borderId="7" xfId="0" applyNumberFormat="1" applyFont="1" applyBorder="1"/>
    <xf numFmtId="164" fontId="26" fillId="0" borderId="0" xfId="0" applyFont="1"/>
    <xf numFmtId="164" fontId="24" fillId="0" borderId="0" xfId="0" applyFont="1" applyAlignment="1">
      <alignment horizontal="left"/>
    </xf>
    <xf numFmtId="164" fontId="23" fillId="0" borderId="0" xfId="11" applyFont="1" applyAlignment="1">
      <alignment horizontal="left"/>
    </xf>
    <xf numFmtId="164" fontId="27" fillId="0" borderId="0" xfId="0" applyFont="1" applyAlignment="1">
      <alignment horizontal="left"/>
    </xf>
    <xf numFmtId="44" fontId="12" fillId="0" borderId="0" xfId="1" applyFont="1" applyFill="1" applyBorder="1" applyProtection="1"/>
    <xf numFmtId="164" fontId="8" fillId="0" borderId="14" xfId="0" applyFont="1" applyBorder="1"/>
    <xf numFmtId="164" fontId="8" fillId="0" borderId="14" xfId="0" applyFont="1" applyBorder="1" applyProtection="1">
      <protection locked="0"/>
    </xf>
    <xf numFmtId="164" fontId="8" fillId="0" borderId="14" xfId="0" applyFont="1" applyBorder="1" applyAlignment="1">
      <alignment horizontal="left"/>
    </xf>
    <xf numFmtId="164" fontId="8" fillId="0" borderId="14" xfId="0" applyFont="1" applyBorder="1" applyAlignment="1">
      <alignment horizontal="center" wrapText="1"/>
    </xf>
    <xf numFmtId="164" fontId="8" fillId="0" borderId="14" xfId="0" applyFont="1" applyBorder="1" applyAlignment="1">
      <alignment horizontal="center"/>
    </xf>
    <xf numFmtId="164" fontId="12" fillId="2" borderId="0" xfId="0" applyFont="1" applyFill="1" applyAlignment="1" applyProtection="1">
      <alignment horizontal="right"/>
      <protection locked="0"/>
    </xf>
    <xf numFmtId="7" fontId="8" fillId="0" borderId="0" xfId="1" applyNumberFormat="1" applyFont="1"/>
    <xf numFmtId="167" fontId="8" fillId="0" borderId="1" xfId="0" applyNumberFormat="1" applyFont="1" applyBorder="1"/>
    <xf numFmtId="167" fontId="8" fillId="0" borderId="6" xfId="1" applyNumberFormat="1" applyFont="1" applyBorder="1"/>
    <xf numFmtId="164" fontId="8" fillId="0" borderId="14" xfId="0" applyFont="1" applyBorder="1" applyAlignment="1">
      <alignment wrapText="1"/>
    </xf>
    <xf numFmtId="7" fontId="8" fillId="0" borderId="7" xfId="0" applyNumberFormat="1" applyFont="1" applyBorder="1" applyAlignment="1">
      <alignment horizontal="left"/>
    </xf>
    <xf numFmtId="7" fontId="8" fillId="0" borderId="15" xfId="0" applyNumberFormat="1" applyFont="1" applyBorder="1"/>
    <xf numFmtId="7" fontId="8" fillId="0" borderId="0" xfId="1" applyNumberFormat="1" applyFont="1" applyFill="1" applyBorder="1" applyProtection="1"/>
    <xf numFmtId="164" fontId="28" fillId="0" borderId="0" xfId="0" applyFont="1" applyAlignment="1">
      <alignment horizontal="left" vertical="top"/>
    </xf>
  </cellXfs>
  <cellStyles count="12">
    <cellStyle name="Comma 2" xfId="6" xr:uid="{00000000-0005-0000-0000-000000000000}"/>
    <cellStyle name="Currency" xfId="1" builtinId="4"/>
    <cellStyle name="Currency 2" xfId="9" xr:uid="{00000000-0005-0000-0000-000002000000}"/>
    <cellStyle name="Currency 3" xfId="4" xr:uid="{00000000-0005-0000-0000-000003000000}"/>
    <cellStyle name="Hyperlink" xfId="11" builtinId="8"/>
    <cellStyle name="Normal" xfId="0" builtinId="0"/>
    <cellStyle name="Normal 2" xfId="5" xr:uid="{00000000-0005-0000-0000-000005000000}"/>
    <cellStyle name="Normal 3" xfId="8" xr:uid="{00000000-0005-0000-0000-000006000000}"/>
    <cellStyle name="Normal 3 2" xfId="10" xr:uid="{00000000-0005-0000-0000-000007000000}"/>
    <cellStyle name="Normal 4" xfId="3" xr:uid="{00000000-0005-0000-0000-000008000000}"/>
    <cellStyle name="Percent" xfId="2" builtinId="5"/>
    <cellStyle name="Percent 2" xfId="7" xr:uid="{00000000-0005-0000-0000-00000A000000}"/>
  </cellStyles>
  <dxfs count="0"/>
  <tableStyles count="0" defaultTableStyle="TableStyleMedium9" defaultPivotStyle="PivotStyleLight16"/>
  <colors>
    <mruColors>
      <color rgb="FF0034A7"/>
      <color rgb="FFFFD100"/>
      <color rgb="FF003087"/>
      <color rgb="FF009A44"/>
      <color rgb="FF555555"/>
      <color rgb="FF0000FF"/>
      <color rgb="FFFC32F2"/>
      <color rgb="FF0303BD"/>
      <color rgb="FF265A9A"/>
      <color rgb="FF377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50800</xdr:rowOff>
    </xdr:from>
    <xdr:to>
      <xdr:col>9</xdr:col>
      <xdr:colOff>369545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B63BF6-2095-6F43-BEEC-E5C0B62C785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27600" y="50800"/>
          <a:ext cx="2045945" cy="132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300671</xdr:colOff>
      <xdr:row>1</xdr:row>
      <xdr:rowOff>19050</xdr:rowOff>
    </xdr:from>
    <xdr:to>
      <xdr:col>7</xdr:col>
      <xdr:colOff>325224</xdr:colOff>
      <xdr:row>6</xdr:row>
      <xdr:rowOff>62230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25071" y="222250"/>
          <a:ext cx="1739053" cy="1122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536243</xdr:colOff>
      <xdr:row>1</xdr:row>
      <xdr:rowOff>19050</xdr:rowOff>
    </xdr:from>
    <xdr:to>
      <xdr:col>8</xdr:col>
      <xdr:colOff>508751</xdr:colOff>
      <xdr:row>6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90843" y="222250"/>
          <a:ext cx="1699708" cy="1097280"/>
        </a:xfrm>
        <a:prstGeom prst="rect">
          <a:avLst/>
        </a:prstGeom>
      </xdr:spPr>
    </xdr:pic>
    <xdr:clientData/>
  </xdr:twoCellAnchor>
  <xdr:twoCellAnchor editAs="oneCell">
    <xdr:from>
      <xdr:col>6</xdr:col>
      <xdr:colOff>646186</xdr:colOff>
      <xdr:row>63</xdr:row>
      <xdr:rowOff>9525</xdr:rowOff>
    </xdr:from>
    <xdr:to>
      <xdr:col>8</xdr:col>
      <xdr:colOff>643284</xdr:colOff>
      <xdr:row>68</xdr:row>
      <xdr:rowOff>17780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00786" y="11896725"/>
          <a:ext cx="1724298" cy="11131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591837</xdr:colOff>
      <xdr:row>1</xdr:row>
      <xdr:rowOff>9525</xdr:rowOff>
    </xdr:from>
    <xdr:to>
      <xdr:col>8</xdr:col>
      <xdr:colOff>662707</xdr:colOff>
      <xdr:row>6</xdr:row>
      <xdr:rowOff>65405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437" y="212725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571573</xdr:colOff>
      <xdr:row>48</xdr:row>
      <xdr:rowOff>57150</xdr:rowOff>
    </xdr:from>
    <xdr:to>
      <xdr:col>8</xdr:col>
      <xdr:colOff>568671</xdr:colOff>
      <xdr:row>53</xdr:row>
      <xdr:rowOff>65405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6173" y="9378950"/>
          <a:ext cx="1724298" cy="11131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592155</xdr:colOff>
      <xdr:row>0</xdr:row>
      <xdr:rowOff>63500</xdr:rowOff>
    </xdr:from>
    <xdr:to>
      <xdr:col>8</xdr:col>
      <xdr:colOff>574125</xdr:colOff>
      <xdr:row>5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755" y="6350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571573</xdr:colOff>
      <xdr:row>48</xdr:row>
      <xdr:rowOff>28575</xdr:rowOff>
    </xdr:from>
    <xdr:to>
      <xdr:col>8</xdr:col>
      <xdr:colOff>479771</xdr:colOff>
      <xdr:row>52</xdr:row>
      <xdr:rowOff>100330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26173" y="8359775"/>
          <a:ext cx="1724298" cy="1113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599775</xdr:colOff>
      <xdr:row>0</xdr:row>
      <xdr:rowOff>101600</xdr:rowOff>
    </xdr:from>
    <xdr:to>
      <xdr:col>8</xdr:col>
      <xdr:colOff>670645</xdr:colOff>
      <xdr:row>6</xdr:row>
      <xdr:rowOff>43180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54375" y="10160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762073</xdr:colOff>
      <xdr:row>42</xdr:row>
      <xdr:rowOff>28575</xdr:rowOff>
    </xdr:from>
    <xdr:to>
      <xdr:col>8</xdr:col>
      <xdr:colOff>759171</xdr:colOff>
      <xdr:row>47</xdr:row>
      <xdr:rowOff>49530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16673" y="8512175"/>
          <a:ext cx="1724298" cy="11131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589938</xdr:colOff>
      <xdr:row>0</xdr:row>
      <xdr:rowOff>92075</xdr:rowOff>
    </xdr:from>
    <xdr:to>
      <xdr:col>8</xdr:col>
      <xdr:colOff>680481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4538" y="92075"/>
          <a:ext cx="1817743" cy="1173480"/>
        </a:xfrm>
        <a:prstGeom prst="rect">
          <a:avLst/>
        </a:prstGeom>
      </xdr:spPr>
    </xdr:pic>
    <xdr:clientData/>
  </xdr:twoCellAnchor>
  <xdr:twoCellAnchor editAs="oneCell">
    <xdr:from>
      <xdr:col>6</xdr:col>
      <xdr:colOff>628723</xdr:colOff>
      <xdr:row>44</xdr:row>
      <xdr:rowOff>19050</xdr:rowOff>
    </xdr:from>
    <xdr:to>
      <xdr:col>8</xdr:col>
      <xdr:colOff>625821</xdr:colOff>
      <xdr:row>49</xdr:row>
      <xdr:rowOff>27305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3323" y="8972550"/>
          <a:ext cx="1724298" cy="11131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591837</xdr:colOff>
      <xdr:row>0</xdr:row>
      <xdr:rowOff>82550</xdr:rowOff>
    </xdr:from>
    <xdr:to>
      <xdr:col>8</xdr:col>
      <xdr:colOff>662707</xdr:colOff>
      <xdr:row>5</xdr:row>
      <xdr:rowOff>125730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6437" y="82550"/>
          <a:ext cx="1798070" cy="1160780"/>
        </a:xfrm>
        <a:prstGeom prst="rect">
          <a:avLst/>
        </a:prstGeom>
      </xdr:spPr>
    </xdr:pic>
    <xdr:clientData/>
  </xdr:twoCellAnchor>
  <xdr:twoCellAnchor editAs="oneCell">
    <xdr:from>
      <xdr:col>6</xdr:col>
      <xdr:colOff>628723</xdr:colOff>
      <xdr:row>42</xdr:row>
      <xdr:rowOff>6350</xdr:rowOff>
    </xdr:from>
    <xdr:to>
      <xdr:col>8</xdr:col>
      <xdr:colOff>625821</xdr:colOff>
      <xdr:row>47</xdr:row>
      <xdr:rowOff>103505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83323" y="8578850"/>
          <a:ext cx="1724298" cy="11131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5</xdr:row>
      <xdr:rowOff>88900</xdr:rowOff>
    </xdr:from>
    <xdr:to>
      <xdr:col>3</xdr:col>
      <xdr:colOff>350157</xdr:colOff>
      <xdr:row>19</xdr:row>
      <xdr:rowOff>25400</xdr:rowOff>
    </xdr:to>
    <xdr:pic>
      <xdr:nvPicPr>
        <xdr:cNvPr id="4" name="Picture 3" descr="Heather Gessner protriat">
          <a:extLst>
            <a:ext uri="{FF2B5EF4-FFF2-40B4-BE49-F238E27FC236}">
              <a16:creationId xmlns:a16="http://schemas.microsoft.com/office/drawing/2014/main" id="{C9221EB1-B4C2-0940-CFF2-E9A49AD07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" y="1320800"/>
          <a:ext cx="2077357" cy="29083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</xdr:row>
      <xdr:rowOff>152401</xdr:rowOff>
    </xdr:from>
    <xdr:to>
      <xdr:col>3</xdr:col>
      <xdr:colOff>534262</xdr:colOff>
      <xdr:row>3</xdr:row>
      <xdr:rowOff>190501</xdr:rowOff>
    </xdr:to>
    <xdr:pic>
      <xdr:nvPicPr>
        <xdr:cNvPr id="6" name="Picture 5" descr="SDSU Extension Logo">
          <a:extLst>
            <a:ext uri="{FF2B5EF4-FFF2-40B4-BE49-F238E27FC236}">
              <a16:creationId xmlns:a16="http://schemas.microsoft.com/office/drawing/2014/main" id="{3246FE0F-D36D-E064-A18F-DDEA917E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330201"/>
          <a:ext cx="2464662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sdstate.ed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Relationship Id="rId4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J26"/>
  <sheetViews>
    <sheetView tabSelected="1" workbookViewId="0">
      <selection activeCell="A28" sqref="A28"/>
    </sheetView>
  </sheetViews>
  <sheetFormatPr baseColWidth="10" defaultColWidth="9" defaultRowHeight="16"/>
  <cols>
    <col min="1" max="1" width="11" style="4" customWidth="1"/>
    <col min="2" max="2" width="10.33203125" style="4" customWidth="1"/>
    <col min="3" max="3" width="11.33203125" style="4" customWidth="1"/>
    <col min="4" max="16384" width="9" style="4"/>
  </cols>
  <sheetData>
    <row r="2" spans="1:10" ht="20.25" customHeight="1">
      <c r="A2" s="195" t="s">
        <v>309</v>
      </c>
      <c r="B2" s="164"/>
      <c r="C2" s="194"/>
      <c r="D2" s="164"/>
      <c r="E2" s="164"/>
      <c r="F2" s="164"/>
    </row>
    <row r="3" spans="1:10" ht="15" customHeight="1">
      <c r="A3" s="195" t="s">
        <v>308</v>
      </c>
      <c r="B3" s="164"/>
      <c r="C3" s="164"/>
      <c r="D3" s="164"/>
      <c r="E3" s="164"/>
      <c r="F3" s="164"/>
    </row>
    <row r="4" spans="1:10" ht="16" customHeight="1">
      <c r="A4" s="163"/>
      <c r="B4" s="163"/>
      <c r="C4" s="163"/>
      <c r="D4" s="163"/>
      <c r="E4" s="163"/>
      <c r="F4" s="163"/>
    </row>
    <row r="6" spans="1:10">
      <c r="B6" s="193">
        <v>46029</v>
      </c>
      <c r="C6" s="19"/>
      <c r="D6" s="18"/>
      <c r="E6" s="19"/>
      <c r="F6" s="19"/>
      <c r="G6" s="19"/>
      <c r="H6" s="19"/>
      <c r="I6" s="19"/>
      <c r="J6" s="19"/>
    </row>
    <row r="7" spans="1:10">
      <c r="A7" s="18"/>
      <c r="B7" s="19"/>
      <c r="C7" s="19"/>
      <c r="D7" s="18"/>
      <c r="E7" s="19"/>
      <c r="F7" s="19"/>
      <c r="G7" s="19"/>
      <c r="H7" s="19"/>
      <c r="I7" s="19"/>
      <c r="J7" s="19"/>
    </row>
    <row r="8" spans="1:10">
      <c r="A8" s="165" t="s">
        <v>310</v>
      </c>
      <c r="B8" s="165"/>
      <c r="C8" s="165"/>
      <c r="D8" s="165"/>
      <c r="E8" s="165"/>
      <c r="F8" s="165"/>
      <c r="G8" s="165"/>
      <c r="H8" s="165"/>
      <c r="I8" s="165"/>
      <c r="J8" s="165"/>
    </row>
    <row r="9" spans="1:10">
      <c r="A9" s="165" t="s">
        <v>311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>
      <c r="A10" s="165" t="s">
        <v>312</v>
      </c>
      <c r="B10" s="165"/>
      <c r="C10" s="165"/>
      <c r="D10" s="165"/>
      <c r="E10" s="165"/>
      <c r="F10" s="165"/>
      <c r="G10" s="165"/>
      <c r="H10" s="165"/>
      <c r="I10" s="165"/>
      <c r="J10" s="165"/>
    </row>
    <row r="11" spans="1:10">
      <c r="A11" s="165" t="s">
        <v>313</v>
      </c>
      <c r="B11" s="165"/>
      <c r="C11" s="165"/>
      <c r="D11" s="165"/>
      <c r="E11" s="165"/>
      <c r="F11" s="165"/>
      <c r="G11" s="165"/>
      <c r="H11" s="165"/>
      <c r="I11" s="165"/>
      <c r="J11" s="165"/>
    </row>
    <row r="12" spans="1:10">
      <c r="A12" s="165" t="s">
        <v>314</v>
      </c>
      <c r="B12" s="165"/>
      <c r="C12" s="165"/>
      <c r="D12" s="165"/>
      <c r="E12" s="165"/>
      <c r="F12" s="165"/>
      <c r="G12" s="165"/>
      <c r="H12" s="165"/>
      <c r="I12" s="165"/>
      <c r="J12" s="165"/>
    </row>
    <row r="13" spans="1:10">
      <c r="A13" s="165" t="s">
        <v>315</v>
      </c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0">
      <c r="A14" s="165" t="s">
        <v>316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6" customHeight="1">
      <c r="A16" s="4" t="s">
        <v>317</v>
      </c>
    </row>
    <row r="17" spans="1:10">
      <c r="A17" s="4" t="s">
        <v>318</v>
      </c>
    </row>
    <row r="18" spans="1:10">
      <c r="A18" s="20"/>
    </row>
    <row r="19" spans="1:10">
      <c r="A19" s="20" t="s">
        <v>319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 t="s">
        <v>320</v>
      </c>
      <c r="B20" s="20"/>
      <c r="C20" s="20"/>
      <c r="D20" s="20"/>
      <c r="E20" s="20"/>
      <c r="F20" s="20"/>
      <c r="G20" s="20"/>
      <c r="H20" s="20"/>
      <c r="I20" s="20"/>
      <c r="J20" s="20"/>
    </row>
    <row r="22" spans="1:10">
      <c r="A22" s="191" t="s">
        <v>373</v>
      </c>
    </row>
    <row r="23" spans="1:10">
      <c r="A23" s="191" t="s">
        <v>374</v>
      </c>
    </row>
    <row r="24" spans="1:10">
      <c r="A24" s="191" t="s">
        <v>375</v>
      </c>
    </row>
    <row r="25" spans="1:10">
      <c r="A25" s="191"/>
    </row>
    <row r="26" spans="1:10">
      <c r="A26" s="192" t="s">
        <v>376</v>
      </c>
    </row>
  </sheetData>
  <sheetProtection algorithmName="SHA-512" hashValue="6dF6g/oRolmHi05M6J/F01B8hMXnAFpEAw3HdoNb5/MSfHTzaztGdeMGcCYkbWROEJJn0pwnEz8wNroyk8nMbg==" saltValue="dc907IyFV/J8dFPqDGQY/Q==" spinCount="100000" sheet="1" objects="1" scenarios="1"/>
  <hyperlinks>
    <hyperlink ref="A26" r:id="rId1" xr:uid="{78BD0D11-AFF6-C840-B9CA-596B328D2307}"/>
  </hyperlinks>
  <pageMargins left="0.7" right="0.7" top="0.75" bottom="0.75" header="0.3" footer="0.3"/>
  <pageSetup scale="8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3087"/>
    <pageSetUpPr fitToPage="1"/>
  </sheetPr>
  <dimension ref="E3:T20"/>
  <sheetViews>
    <sheetView workbookViewId="0">
      <selection activeCell="I16" sqref="I16"/>
    </sheetView>
  </sheetViews>
  <sheetFormatPr baseColWidth="10" defaultColWidth="8.83203125" defaultRowHeight="14"/>
  <cols>
    <col min="5" max="5" width="16" customWidth="1"/>
  </cols>
  <sheetData>
    <row r="3" spans="5:20" ht="33">
      <c r="E3" s="215" t="s">
        <v>377</v>
      </c>
      <c r="F3" s="215"/>
      <c r="G3" s="215"/>
      <c r="H3" s="215"/>
    </row>
    <row r="4" spans="5:20" ht="18">
      <c r="E4" s="200" t="s">
        <v>398</v>
      </c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</row>
    <row r="5" spans="5:20" ht="18"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</row>
    <row r="7" spans="5:20" ht="20">
      <c r="E7" s="197" t="s">
        <v>378</v>
      </c>
    </row>
    <row r="8" spans="5:20" ht="16">
      <c r="E8" s="198" t="s">
        <v>379</v>
      </c>
      <c r="F8" s="198"/>
      <c r="G8" s="198"/>
      <c r="H8" s="198"/>
      <c r="I8" s="198"/>
      <c r="J8" s="198"/>
      <c r="K8" s="198"/>
      <c r="L8" s="198"/>
      <c r="M8" s="198"/>
      <c r="N8" s="198"/>
    </row>
    <row r="10" spans="5:20" ht="20">
      <c r="E10" s="197" t="s">
        <v>380</v>
      </c>
    </row>
    <row r="11" spans="5:20" ht="16">
      <c r="E11" s="198" t="s">
        <v>381</v>
      </c>
      <c r="F11" s="198"/>
      <c r="G11" s="198"/>
      <c r="H11" s="198"/>
      <c r="I11" s="198"/>
      <c r="J11" s="198"/>
      <c r="K11" s="198"/>
      <c r="L11" s="198"/>
      <c r="M11" s="198"/>
    </row>
    <row r="13" spans="5:20" ht="20">
      <c r="E13" s="197" t="s">
        <v>382</v>
      </c>
    </row>
    <row r="14" spans="5:20" ht="16">
      <c r="E14" s="199" t="s">
        <v>383</v>
      </c>
      <c r="F14" s="198"/>
      <c r="G14" s="198"/>
      <c r="H14" s="198"/>
      <c r="I14" s="198"/>
      <c r="J14" s="198"/>
      <c r="K14" s="198"/>
      <c r="L14" s="198"/>
      <c r="M14" s="198"/>
    </row>
    <row r="16" spans="5:20" ht="20">
      <c r="E16" s="197" t="s">
        <v>384</v>
      </c>
    </row>
    <row r="17" spans="5:13" ht="16">
      <c r="E17" s="198" t="s">
        <v>385</v>
      </c>
      <c r="F17" s="198"/>
      <c r="G17" s="198"/>
      <c r="H17" s="198"/>
      <c r="I17" s="198"/>
      <c r="J17" s="198"/>
      <c r="K17" s="198"/>
      <c r="L17" s="198"/>
      <c r="M17" s="198"/>
    </row>
    <row r="19" spans="5:13" ht="20">
      <c r="E19" s="197" t="s">
        <v>386</v>
      </c>
    </row>
    <row r="20" spans="5:13" ht="16">
      <c r="E20" s="199" t="s">
        <v>387</v>
      </c>
      <c r="F20" s="199"/>
      <c r="G20" s="199"/>
      <c r="H20" s="199"/>
      <c r="I20" s="199"/>
      <c r="J20" s="199"/>
      <c r="K20" s="199"/>
      <c r="L20" s="199"/>
      <c r="M20" s="199"/>
    </row>
  </sheetData>
  <sheetProtection algorithmName="SHA-512" hashValue="M7wXr0kQbTkHv0d4KHEHpC6EKSzLx93AF0M9XcVbRIKLgaD05YN3zjDsVhTNCUWj2QujmBuvOATTbbJIuoNVEg==" saltValue="MP/T3i8qnWfUFyuLStDcFg==" spinCount="100000" sheet="1" objects="1" scenarios="1"/>
  <mergeCells count="1">
    <mergeCell ref="E3:H3"/>
  </mergeCells>
  <hyperlinks>
    <hyperlink ref="E14" r:id="rId1" xr:uid="{F7C3E579-1911-994A-BCBC-6990CF96D2C9}"/>
    <hyperlink ref="E20:M20" r:id="rId2" display="extension.sdstate.edu " xr:uid="{503365DB-0E05-7640-BD92-658D65762162}"/>
  </hyperlinks>
  <pageMargins left="0.7" right="0.7" top="0.75" bottom="0.75" header="0.3" footer="0.3"/>
  <pageSetup scale="65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4"/>
  <sheetViews>
    <sheetView topLeftCell="A31" workbookViewId="0">
      <selection activeCell="D67" sqref="D67"/>
    </sheetView>
  </sheetViews>
  <sheetFormatPr baseColWidth="10" defaultColWidth="8.83203125" defaultRowHeight="14"/>
  <cols>
    <col min="7" max="7" width="13.1640625" customWidth="1"/>
    <col min="8" max="8" width="14" bestFit="1" customWidth="1"/>
  </cols>
  <sheetData>
    <row r="1" spans="1:15">
      <c r="A1" s="1" t="s">
        <v>184</v>
      </c>
    </row>
    <row r="2" spans="1:15">
      <c r="A2" s="1" t="s">
        <v>179</v>
      </c>
      <c r="B2" s="1" t="s">
        <v>180</v>
      </c>
      <c r="C2" s="1" t="s">
        <v>181</v>
      </c>
    </row>
    <row r="3" spans="1:15">
      <c r="A3">
        <v>3.88</v>
      </c>
      <c r="B3">
        <v>-0.6</v>
      </c>
      <c r="C3">
        <f>+A3+B3</f>
        <v>3.28</v>
      </c>
    </row>
    <row r="4" spans="1:15">
      <c r="A4">
        <v>3.99</v>
      </c>
      <c r="B4">
        <v>-0.6</v>
      </c>
      <c r="C4">
        <f>+A4+B4</f>
        <v>3.39</v>
      </c>
    </row>
    <row r="5" spans="1:15">
      <c r="A5">
        <v>4.05</v>
      </c>
      <c r="B5">
        <v>-0.6</v>
      </c>
      <c r="C5">
        <f>+A5+B5</f>
        <v>3.4499999999999997</v>
      </c>
    </row>
    <row r="6" spans="1:15">
      <c r="B6" s="1" t="s">
        <v>182</v>
      </c>
      <c r="C6">
        <f>+AVERAGE(C3:C5)</f>
        <v>3.3733333333333331</v>
      </c>
    </row>
    <row r="8" spans="1:15">
      <c r="B8" s="2" t="s">
        <v>183</v>
      </c>
      <c r="C8">
        <f>3.37*0.7</f>
        <v>2.359</v>
      </c>
    </row>
    <row r="10" spans="1:15">
      <c r="A10" t="s">
        <v>185</v>
      </c>
      <c r="I10" s="1" t="s">
        <v>211</v>
      </c>
      <c r="J10" s="1" t="s">
        <v>212</v>
      </c>
      <c r="K10" s="1" t="s">
        <v>213</v>
      </c>
      <c r="L10" s="1" t="s">
        <v>214</v>
      </c>
      <c r="M10" s="1" t="s">
        <v>215</v>
      </c>
      <c r="N10" s="1" t="s">
        <v>229</v>
      </c>
    </row>
    <row r="11" spans="1:15">
      <c r="A11" t="s">
        <v>186</v>
      </c>
      <c r="H11" s="1" t="s">
        <v>74</v>
      </c>
      <c r="K11">
        <v>70</v>
      </c>
      <c r="M11" s="1" t="s">
        <v>216</v>
      </c>
      <c r="O11" s="1" t="s">
        <v>219</v>
      </c>
    </row>
    <row r="12" spans="1:15">
      <c r="A12" t="s">
        <v>187</v>
      </c>
      <c r="I12" s="1" t="s">
        <v>217</v>
      </c>
      <c r="J12">
        <v>140</v>
      </c>
      <c r="K12">
        <v>90</v>
      </c>
      <c r="O12" s="1" t="s">
        <v>220</v>
      </c>
    </row>
    <row r="13" spans="1:15">
      <c r="A13" t="s">
        <v>188</v>
      </c>
    </row>
    <row r="14" spans="1:15">
      <c r="A14" t="s">
        <v>189</v>
      </c>
      <c r="H14" s="1" t="s">
        <v>218</v>
      </c>
      <c r="I14">
        <v>125</v>
      </c>
      <c r="J14">
        <v>90</v>
      </c>
      <c r="K14" s="1" t="s">
        <v>221</v>
      </c>
      <c r="O14" s="1" t="s">
        <v>220</v>
      </c>
    </row>
    <row r="17" spans="1:15">
      <c r="A17" t="s">
        <v>190</v>
      </c>
    </row>
    <row r="18" spans="1:15">
      <c r="A18" t="s">
        <v>191</v>
      </c>
    </row>
    <row r="19" spans="1:15">
      <c r="A19" t="s">
        <v>192</v>
      </c>
      <c r="H19" s="1" t="s">
        <v>74</v>
      </c>
      <c r="M19" s="1" t="s">
        <v>222</v>
      </c>
      <c r="O19" s="1" t="s">
        <v>223</v>
      </c>
    </row>
    <row r="20" spans="1:15">
      <c r="A20" t="s">
        <v>193</v>
      </c>
      <c r="H20" s="1" t="s">
        <v>224</v>
      </c>
      <c r="I20">
        <v>90</v>
      </c>
      <c r="K20" s="1" t="s">
        <v>225</v>
      </c>
      <c r="M20" s="1" t="s">
        <v>226</v>
      </c>
      <c r="O20" s="1" t="s">
        <v>223</v>
      </c>
    </row>
    <row r="21" spans="1:15">
      <c r="A21" t="s">
        <v>194</v>
      </c>
      <c r="H21" s="1" t="s">
        <v>227</v>
      </c>
      <c r="K21" s="1" t="s">
        <v>228</v>
      </c>
      <c r="N21">
        <v>40</v>
      </c>
      <c r="O21" s="1" t="s">
        <v>223</v>
      </c>
    </row>
    <row r="22" spans="1:15">
      <c r="A22" t="s">
        <v>195</v>
      </c>
    </row>
    <row r="23" spans="1:15">
      <c r="A23" t="s">
        <v>196</v>
      </c>
    </row>
    <row r="24" spans="1:15">
      <c r="A24" t="s">
        <v>197</v>
      </c>
    </row>
    <row r="25" spans="1:15">
      <c r="A25" t="s">
        <v>198</v>
      </c>
    </row>
    <row r="27" spans="1:15">
      <c r="A27" t="s">
        <v>199</v>
      </c>
    </row>
    <row r="28" spans="1:15">
      <c r="A28" t="s">
        <v>200</v>
      </c>
      <c r="H28" s="1" t="s">
        <v>230</v>
      </c>
      <c r="K28" s="1" t="s">
        <v>231</v>
      </c>
      <c r="M28" s="1" t="s">
        <v>232</v>
      </c>
      <c r="N28" s="1" t="s">
        <v>233</v>
      </c>
      <c r="O28" s="1" t="s">
        <v>234</v>
      </c>
    </row>
    <row r="29" spans="1:15">
      <c r="A29" t="s">
        <v>201</v>
      </c>
      <c r="H29" s="1" t="s">
        <v>227</v>
      </c>
      <c r="K29" s="1" t="s">
        <v>235</v>
      </c>
      <c r="M29">
        <v>85</v>
      </c>
      <c r="O29" s="1" t="s">
        <v>223</v>
      </c>
    </row>
    <row r="30" spans="1:15">
      <c r="A30" t="s">
        <v>202</v>
      </c>
      <c r="H30" s="1" t="s">
        <v>224</v>
      </c>
      <c r="I30">
        <v>155</v>
      </c>
      <c r="K30" s="1" t="s">
        <v>236</v>
      </c>
      <c r="M30" s="1" t="s">
        <v>237</v>
      </c>
      <c r="O30" s="1" t="s">
        <v>234</v>
      </c>
    </row>
    <row r="31" spans="1:15">
      <c r="A31" t="s">
        <v>203</v>
      </c>
      <c r="H31" s="1" t="s">
        <v>238</v>
      </c>
      <c r="N31" s="1" t="s">
        <v>239</v>
      </c>
      <c r="O31" s="1" t="s">
        <v>234</v>
      </c>
    </row>
    <row r="32" spans="1:15">
      <c r="A32" t="s">
        <v>204</v>
      </c>
      <c r="G32" s="1" t="s">
        <v>241</v>
      </c>
      <c r="H32" s="1" t="s">
        <v>240</v>
      </c>
      <c r="N32" s="1" t="s">
        <v>242</v>
      </c>
      <c r="O32" s="1" t="s">
        <v>223</v>
      </c>
    </row>
    <row r="33" spans="1:3">
      <c r="A33" t="s">
        <v>205</v>
      </c>
    </row>
    <row r="34" spans="1:3">
      <c r="A34" t="s">
        <v>206</v>
      </c>
    </row>
    <row r="35" spans="1:3">
      <c r="A35" t="s">
        <v>207</v>
      </c>
    </row>
    <row r="36" spans="1:3">
      <c r="A36" t="s">
        <v>208</v>
      </c>
    </row>
    <row r="37" spans="1:3">
      <c r="A37" t="s">
        <v>209</v>
      </c>
    </row>
    <row r="38" spans="1:3">
      <c r="A38" t="s">
        <v>210</v>
      </c>
    </row>
    <row r="41" spans="1:3">
      <c r="A41" s="1" t="s">
        <v>243</v>
      </c>
    </row>
    <row r="42" spans="1:3">
      <c r="A42" s="1" t="s">
        <v>244</v>
      </c>
    </row>
    <row r="43" spans="1:3">
      <c r="A43" s="1" t="s">
        <v>245</v>
      </c>
      <c r="B43">
        <v>135</v>
      </c>
    </row>
    <row r="44" spans="1:3">
      <c r="A44" s="1" t="s">
        <v>246</v>
      </c>
      <c r="B44">
        <v>70</v>
      </c>
    </row>
    <row r="45" spans="1:3">
      <c r="A45" s="1" t="s">
        <v>247</v>
      </c>
      <c r="B45">
        <v>40</v>
      </c>
      <c r="C45" s="1" t="s">
        <v>248</v>
      </c>
    </row>
    <row r="47" spans="1:3">
      <c r="A47" s="1" t="s">
        <v>251</v>
      </c>
    </row>
    <row r="48" spans="1:3">
      <c r="A48" s="1" t="s">
        <v>252</v>
      </c>
      <c r="B48">
        <v>130.75</v>
      </c>
    </row>
    <row r="49" spans="1:2">
      <c r="A49" s="1" t="s">
        <v>253</v>
      </c>
      <c r="B49">
        <v>137.4</v>
      </c>
    </row>
    <row r="50" spans="1:2">
      <c r="A50" s="1" t="s">
        <v>254</v>
      </c>
      <c r="B50">
        <v>139.30000000000001</v>
      </c>
    </row>
    <row r="51" spans="1:2">
      <c r="A51" s="1" t="s">
        <v>255</v>
      </c>
      <c r="B51">
        <v>138.94999999999999</v>
      </c>
    </row>
    <row r="52" spans="1:2">
      <c r="A52" s="1" t="s">
        <v>256</v>
      </c>
      <c r="B52">
        <v>130.85</v>
      </c>
    </row>
    <row r="53" spans="1:2">
      <c r="A53" s="1" t="s">
        <v>257</v>
      </c>
      <c r="B53">
        <v>128.5</v>
      </c>
    </row>
    <row r="55" spans="1:2">
      <c r="A55" s="1" t="s">
        <v>258</v>
      </c>
    </row>
    <row r="56" spans="1:2">
      <c r="A56" s="1" t="s">
        <v>252</v>
      </c>
      <c r="B56">
        <v>188.83</v>
      </c>
    </row>
    <row r="57" spans="1:2">
      <c r="A57" s="1" t="s">
        <v>259</v>
      </c>
      <c r="B57">
        <v>184.6</v>
      </c>
    </row>
    <row r="58" spans="1:2">
      <c r="A58" s="1" t="s">
        <v>260</v>
      </c>
      <c r="B58">
        <v>179.5</v>
      </c>
    </row>
    <row r="59" spans="1:2">
      <c r="A59" s="1" t="s">
        <v>261</v>
      </c>
      <c r="B59">
        <v>177.6</v>
      </c>
    </row>
    <row r="60" spans="1:2">
      <c r="A60" s="1" t="s">
        <v>255</v>
      </c>
      <c r="B60">
        <v>178.23</v>
      </c>
    </row>
    <row r="61" spans="1:2">
      <c r="A61" s="1" t="s">
        <v>262</v>
      </c>
      <c r="B61">
        <v>178.1</v>
      </c>
    </row>
    <row r="62" spans="1:2">
      <c r="A62" s="1" t="s">
        <v>257</v>
      </c>
      <c r="B62">
        <v>178.37</v>
      </c>
    </row>
    <row r="63" spans="1:2">
      <c r="A63" s="1" t="s">
        <v>263</v>
      </c>
      <c r="B63" s="3" t="s">
        <v>264</v>
      </c>
    </row>
    <row r="64" spans="1:2">
      <c r="A64" s="1" t="s">
        <v>252</v>
      </c>
      <c r="B64" s="3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D100"/>
    <pageSetUpPr fitToPage="1"/>
  </sheetPr>
  <dimension ref="A2:L37"/>
  <sheetViews>
    <sheetView workbookViewId="0">
      <selection activeCell="G22" sqref="G22"/>
    </sheetView>
  </sheetViews>
  <sheetFormatPr baseColWidth="10" defaultColWidth="9" defaultRowHeight="16"/>
  <cols>
    <col min="1" max="1" width="21" style="4" customWidth="1"/>
    <col min="2" max="2" width="12.1640625" style="4" customWidth="1"/>
    <col min="3" max="4" width="9" style="4"/>
    <col min="5" max="5" width="10.83203125" style="4" bestFit="1" customWidth="1"/>
    <col min="6" max="6" width="13.5" style="4" bestFit="1" customWidth="1"/>
    <col min="7" max="16384" width="9" style="4"/>
  </cols>
  <sheetData>
    <row r="2" spans="1:10" ht="20" customHeight="1">
      <c r="A2" s="189" t="s">
        <v>323</v>
      </c>
      <c r="B2" s="168"/>
      <c r="C2" s="168"/>
      <c r="D2" s="168"/>
      <c r="E2" s="168"/>
      <c r="F2" s="21"/>
    </row>
    <row r="3" spans="1:10" ht="18" customHeight="1">
      <c r="A3" s="189" t="s">
        <v>324</v>
      </c>
      <c r="B3" s="168"/>
      <c r="C3" s="168"/>
      <c r="D3" s="168"/>
      <c r="E3" s="168"/>
      <c r="F3" s="21"/>
    </row>
    <row r="4" spans="1:10" ht="15" customHeight="1">
      <c r="A4" s="167"/>
      <c r="B4" s="167"/>
      <c r="C4" s="167"/>
      <c r="D4" s="167"/>
      <c r="E4" s="167"/>
      <c r="F4" s="21"/>
    </row>
    <row r="5" spans="1:10" ht="16" customHeight="1">
      <c r="A5" s="167"/>
      <c r="B5" s="167"/>
      <c r="C5" s="167"/>
      <c r="D5" s="167"/>
      <c r="E5" s="167"/>
    </row>
    <row r="6" spans="1:10" ht="16" customHeight="1">
      <c r="A6" s="167"/>
      <c r="B6" s="167"/>
      <c r="C6" s="167"/>
      <c r="D6" s="167"/>
      <c r="E6" s="167"/>
    </row>
    <row r="7" spans="1:10" ht="14.25" customHeight="1">
      <c r="B7" s="17"/>
      <c r="C7" s="17"/>
      <c r="D7" s="17"/>
      <c r="E7" s="17"/>
      <c r="F7" s="17"/>
      <c r="G7" s="17"/>
      <c r="H7" s="17"/>
    </row>
    <row r="8" spans="1:10" ht="14.25" customHeight="1">
      <c r="A8" s="17"/>
      <c r="B8" s="17"/>
      <c r="C8" s="17"/>
      <c r="D8" s="17"/>
      <c r="E8" s="17"/>
      <c r="F8" s="17"/>
      <c r="G8" s="17"/>
      <c r="H8" s="17"/>
    </row>
    <row r="9" spans="1:10" ht="15" customHeight="1">
      <c r="A9" s="166" t="s">
        <v>321</v>
      </c>
      <c r="B9" s="166"/>
      <c r="C9" s="166"/>
      <c r="D9" s="166"/>
      <c r="E9" s="166"/>
      <c r="F9" s="166"/>
      <c r="G9" s="166"/>
      <c r="H9" s="166"/>
    </row>
    <row r="10" spans="1:10">
      <c r="A10" s="166" t="s">
        <v>395</v>
      </c>
      <c r="B10" s="166"/>
      <c r="C10" s="166"/>
      <c r="D10" s="166"/>
      <c r="E10" s="166"/>
      <c r="F10" s="166"/>
      <c r="G10" s="166"/>
      <c r="H10" s="166"/>
    </row>
    <row r="11" spans="1:10">
      <c r="A11" s="166" t="s">
        <v>322</v>
      </c>
      <c r="B11" s="166"/>
      <c r="C11" s="166"/>
      <c r="D11" s="166"/>
      <c r="E11" s="166"/>
      <c r="F11" s="166"/>
      <c r="G11" s="166"/>
      <c r="H11" s="166"/>
    </row>
    <row r="12" spans="1:10">
      <c r="A12" s="166" t="s">
        <v>396</v>
      </c>
      <c r="B12" s="166"/>
      <c r="C12" s="166"/>
      <c r="D12" s="166"/>
      <c r="E12" s="166"/>
      <c r="F12" s="166"/>
      <c r="G12" s="166"/>
      <c r="H12" s="166"/>
    </row>
    <row r="13" spans="1:10">
      <c r="A13" s="17"/>
      <c r="B13" s="17"/>
      <c r="C13" s="17"/>
      <c r="D13" s="17"/>
      <c r="E13" s="17"/>
      <c r="F13" s="17"/>
      <c r="G13" s="17"/>
      <c r="H13" s="17"/>
    </row>
    <row r="14" spans="1:10" ht="12" customHeight="1">
      <c r="A14" s="4" t="s">
        <v>325</v>
      </c>
      <c r="I14" s="5"/>
      <c r="J14" s="5"/>
    </row>
    <row r="15" spans="1:10" ht="12" customHeight="1">
      <c r="A15" s="4" t="s">
        <v>326</v>
      </c>
      <c r="I15" s="5"/>
      <c r="J15" s="5"/>
    </row>
    <row r="16" spans="1:10" ht="12" customHeight="1">
      <c r="I16" s="5"/>
      <c r="J16" s="5"/>
    </row>
    <row r="17" spans="1:12" ht="12" customHeight="1">
      <c r="I17" s="5"/>
      <c r="J17" s="5"/>
      <c r="L17" s="7"/>
    </row>
    <row r="18" spans="1:12" ht="15.75" customHeight="1">
      <c r="A18" s="4" t="s">
        <v>392</v>
      </c>
    </row>
    <row r="19" spans="1:12">
      <c r="A19" s="4" t="s">
        <v>393</v>
      </c>
    </row>
    <row r="20" spans="1:12">
      <c r="A20" s="4" t="s">
        <v>394</v>
      </c>
    </row>
    <row r="21" spans="1:12">
      <c r="A21" s="6"/>
      <c r="B21" s="6"/>
      <c r="C21" s="6"/>
      <c r="D21" s="6"/>
      <c r="E21" s="6"/>
      <c r="F21" s="6"/>
      <c r="G21" s="6"/>
      <c r="H21" s="6"/>
    </row>
    <row r="22" spans="1:12" ht="16" customHeight="1"/>
    <row r="23" spans="1:12">
      <c r="B23" s="11" t="s">
        <v>129</v>
      </c>
      <c r="C23" s="169" t="s">
        <v>76</v>
      </c>
      <c r="E23" s="7" t="s">
        <v>174</v>
      </c>
      <c r="F23" s="16">
        <v>46029</v>
      </c>
    </row>
    <row r="24" spans="1:12">
      <c r="A24" s="12" t="s">
        <v>307</v>
      </c>
      <c r="B24" s="13">
        <v>15</v>
      </c>
      <c r="C24" s="4" t="s">
        <v>71</v>
      </c>
    </row>
    <row r="25" spans="1:12">
      <c r="A25" s="12" t="s">
        <v>249</v>
      </c>
      <c r="B25" s="13">
        <v>22</v>
      </c>
      <c r="C25" s="4" t="s">
        <v>71</v>
      </c>
    </row>
    <row r="26" spans="1:12">
      <c r="A26" s="12" t="s">
        <v>170</v>
      </c>
      <c r="B26" s="13">
        <v>3.25</v>
      </c>
      <c r="C26" s="4" t="s">
        <v>72</v>
      </c>
    </row>
    <row r="27" spans="1:12">
      <c r="A27" s="12" t="s">
        <v>169</v>
      </c>
      <c r="B27" s="13">
        <v>2.25</v>
      </c>
      <c r="C27" s="4" t="s">
        <v>72</v>
      </c>
    </row>
    <row r="28" spans="1:12">
      <c r="A28" s="12" t="s">
        <v>31</v>
      </c>
      <c r="B28" s="13">
        <v>120</v>
      </c>
      <c r="C28" s="4" t="s">
        <v>73</v>
      </c>
    </row>
    <row r="29" spans="1:12">
      <c r="A29" s="27" t="s">
        <v>74</v>
      </c>
      <c r="B29" s="13">
        <v>150</v>
      </c>
      <c r="C29" s="4" t="s">
        <v>73</v>
      </c>
    </row>
    <row r="30" spans="1:12">
      <c r="A30" s="12" t="s">
        <v>75</v>
      </c>
      <c r="B30" s="13">
        <v>32</v>
      </c>
      <c r="C30" s="4" t="s">
        <v>73</v>
      </c>
    </row>
    <row r="31" spans="1:12">
      <c r="A31" s="12" t="s">
        <v>111</v>
      </c>
      <c r="B31" s="13">
        <v>50</v>
      </c>
      <c r="C31" s="4" t="s">
        <v>73</v>
      </c>
    </row>
    <row r="32" spans="1:12">
      <c r="A32" s="12" t="s">
        <v>276</v>
      </c>
      <c r="B32" s="13">
        <v>145</v>
      </c>
      <c r="C32" s="4" t="s">
        <v>73</v>
      </c>
    </row>
    <row r="33" spans="1:3">
      <c r="A33" s="12" t="s">
        <v>388</v>
      </c>
      <c r="B33" s="13">
        <v>0</v>
      </c>
      <c r="C33" s="4" t="s">
        <v>73</v>
      </c>
    </row>
    <row r="34" spans="1:3">
      <c r="A34" s="12" t="s">
        <v>389</v>
      </c>
      <c r="B34" s="13">
        <v>0</v>
      </c>
      <c r="C34" s="4" t="s">
        <v>73</v>
      </c>
    </row>
    <row r="35" spans="1:3">
      <c r="A35" s="12" t="s">
        <v>391</v>
      </c>
      <c r="B35" s="13">
        <v>0</v>
      </c>
      <c r="C35" s="4" t="s">
        <v>73</v>
      </c>
    </row>
    <row r="36" spans="1:3">
      <c r="A36" s="12" t="s">
        <v>390</v>
      </c>
      <c r="B36" s="13"/>
      <c r="C36" s="4" t="s">
        <v>73</v>
      </c>
    </row>
    <row r="37" spans="1:3">
      <c r="A37" s="37" t="s">
        <v>100</v>
      </c>
      <c r="B37" s="15">
        <v>60</v>
      </c>
      <c r="C37" s="8" t="s">
        <v>101</v>
      </c>
    </row>
  </sheetData>
  <sheetProtection algorithmName="SHA-512" hashValue="8O6sGjh1q/XvC6YK/vB712Wb79NjXeJrGF8TuC+BEaFxioqzPtpaYDMjTWePBbIVgLytWEN+ca5n57FqIyg61A==" saltValue="M+bOd4hCClGR3dYcUI6KPg==" spinCount="100000" sheet="1" objects="1" scenarios="1"/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3087"/>
    <pageSetUpPr fitToPage="1"/>
  </sheetPr>
  <dimension ref="A2:U112"/>
  <sheetViews>
    <sheetView workbookViewId="0">
      <selection activeCell="R15" sqref="R15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3" width="11.33203125" style="4" customWidth="1"/>
    <col min="4" max="4" width="12.5" style="4" customWidth="1"/>
    <col min="5" max="8" width="11.33203125" style="4" customWidth="1"/>
    <col min="9" max="9" width="12.33203125" style="4" customWidth="1"/>
    <col min="10" max="10" width="2.33203125" customWidth="1"/>
    <col min="11" max="11" width="9.1640625" style="4" bestFit="1" customWidth="1"/>
    <col min="12" max="16384" width="9" style="4"/>
  </cols>
  <sheetData>
    <row r="2" spans="1:14" ht="19" customHeight="1">
      <c r="A2" s="189" t="s">
        <v>327</v>
      </c>
      <c r="B2" s="168"/>
      <c r="C2" s="168"/>
      <c r="D2" s="168"/>
      <c r="E2" s="168"/>
      <c r="F2" s="168"/>
    </row>
    <row r="3" spans="1:14" ht="20" customHeight="1">
      <c r="A3" s="189" t="s">
        <v>328</v>
      </c>
      <c r="B3" s="168"/>
      <c r="C3" s="168"/>
      <c r="D3" s="168"/>
      <c r="E3" s="168"/>
      <c r="F3" s="168"/>
    </row>
    <row r="4" spans="1:14" ht="15" customHeight="1">
      <c r="A4" s="167"/>
      <c r="B4" s="167"/>
      <c r="C4" s="167"/>
      <c r="D4" s="167"/>
      <c r="E4" s="167"/>
      <c r="F4" s="167"/>
    </row>
    <row r="5" spans="1:14" ht="15" customHeight="1">
      <c r="A5" s="167"/>
      <c r="B5" s="167"/>
      <c r="C5" s="167"/>
      <c r="D5" s="167"/>
      <c r="E5" s="167"/>
      <c r="F5" s="167"/>
    </row>
    <row r="6" spans="1:14" ht="15" customHeight="1">
      <c r="A6" s="167"/>
      <c r="B6" s="167"/>
      <c r="C6" s="167"/>
      <c r="D6" s="167"/>
      <c r="E6" s="167"/>
      <c r="F6" s="167"/>
    </row>
    <row r="7" spans="1:14">
      <c r="A7" s="172">
        <f>+'Step 1 - Feed Cost Input Sheet '!F23</f>
        <v>46029</v>
      </c>
      <c r="B7" s="172"/>
      <c r="C7" s="22"/>
    </row>
    <row r="8" spans="1:14">
      <c r="I8" s="22"/>
    </row>
    <row r="9" spans="1:14">
      <c r="A9" s="174" t="s">
        <v>280</v>
      </c>
      <c r="B9" s="174"/>
      <c r="C9" s="174"/>
      <c r="D9" s="174"/>
      <c r="E9" s="174"/>
      <c r="F9" s="174"/>
      <c r="G9" s="174"/>
      <c r="H9" s="174"/>
      <c r="I9" s="174"/>
    </row>
    <row r="10" spans="1:14">
      <c r="A10" s="174" t="s">
        <v>292</v>
      </c>
      <c r="B10" s="174"/>
      <c r="C10" s="174"/>
      <c r="D10" s="174"/>
      <c r="E10" s="174"/>
      <c r="F10" s="174"/>
      <c r="G10" s="174"/>
      <c r="H10" s="174"/>
      <c r="I10" s="174"/>
    </row>
    <row r="11" spans="1:14" ht="17" thickBot="1">
      <c r="A11" s="76" t="s">
        <v>281</v>
      </c>
    </row>
    <row r="12" spans="1:14" ht="17" thickBot="1">
      <c r="A12" s="24" t="s">
        <v>282</v>
      </c>
      <c r="B12" s="25"/>
      <c r="C12" s="25"/>
      <c r="D12" s="24" t="s">
        <v>1</v>
      </c>
      <c r="E12" s="25"/>
      <c r="F12" s="24" t="s">
        <v>282</v>
      </c>
      <c r="G12" s="25"/>
      <c r="H12" s="24" t="s">
        <v>2</v>
      </c>
      <c r="I12" s="25"/>
    </row>
    <row r="13" spans="1:14">
      <c r="A13" s="26" t="s">
        <v>145</v>
      </c>
      <c r="D13" s="27"/>
      <c r="E13" s="28" t="s">
        <v>4</v>
      </c>
      <c r="F13" s="27" t="s">
        <v>152</v>
      </c>
    </row>
    <row r="14" spans="1:14">
      <c r="A14" s="23" t="s">
        <v>284</v>
      </c>
      <c r="D14" s="64">
        <v>50</v>
      </c>
      <c r="E14" s="28" t="s">
        <v>4</v>
      </c>
      <c r="F14" s="4" t="s">
        <v>154</v>
      </c>
      <c r="I14" s="69">
        <v>15</v>
      </c>
      <c r="K14" s="23"/>
    </row>
    <row r="15" spans="1:14">
      <c r="A15" s="23" t="s">
        <v>285</v>
      </c>
      <c r="D15" s="64">
        <v>1</v>
      </c>
      <c r="E15" s="28" t="s">
        <v>4</v>
      </c>
      <c r="F15" s="4" t="s">
        <v>155</v>
      </c>
      <c r="I15" s="70">
        <v>0.8</v>
      </c>
      <c r="K15" s="29"/>
    </row>
    <row r="16" spans="1:14">
      <c r="A16" s="23" t="s">
        <v>286</v>
      </c>
      <c r="D16" s="64">
        <v>0</v>
      </c>
      <c r="E16" s="28" t="s">
        <v>4</v>
      </c>
      <c r="F16" s="4" t="s">
        <v>144</v>
      </c>
      <c r="I16" s="30">
        <f>+I14-(I14*I15)</f>
        <v>3</v>
      </c>
      <c r="K16" s="36"/>
      <c r="L16" s="78"/>
      <c r="M16" s="78"/>
      <c r="N16" s="78"/>
    </row>
    <row r="17" spans="1:14">
      <c r="A17" s="23" t="s">
        <v>131</v>
      </c>
      <c r="D17" s="65">
        <v>40</v>
      </c>
      <c r="E17" s="28" t="s">
        <v>4</v>
      </c>
      <c r="F17" s="4" t="s">
        <v>156</v>
      </c>
      <c r="I17" s="67">
        <v>2300</v>
      </c>
      <c r="K17" s="78"/>
      <c r="L17" s="78"/>
      <c r="M17" s="78"/>
      <c r="N17" s="78"/>
    </row>
    <row r="18" spans="1:14">
      <c r="E18" s="28" t="s">
        <v>4</v>
      </c>
      <c r="F18" s="4" t="s">
        <v>136</v>
      </c>
      <c r="I18" s="69">
        <v>1</v>
      </c>
    </row>
    <row r="19" spans="1:14">
      <c r="A19" s="26" t="s">
        <v>149</v>
      </c>
      <c r="E19" s="28" t="s">
        <v>4</v>
      </c>
      <c r="F19" s="23" t="s">
        <v>137</v>
      </c>
      <c r="I19" s="71">
        <v>5000</v>
      </c>
      <c r="K19" s="31">
        <f>+D26*30</f>
        <v>210</v>
      </c>
      <c r="L19" s="4" t="s">
        <v>128</v>
      </c>
    </row>
    <row r="20" spans="1:14">
      <c r="A20" s="23" t="s">
        <v>287</v>
      </c>
      <c r="D20" s="66">
        <v>9</v>
      </c>
      <c r="E20" s="28" t="s">
        <v>4</v>
      </c>
      <c r="F20" s="4" t="s">
        <v>277</v>
      </c>
      <c r="I20" s="64">
        <v>3200</v>
      </c>
      <c r="K20" s="31">
        <f>+D27*30</f>
        <v>150</v>
      </c>
      <c r="L20" s="4" t="s">
        <v>130</v>
      </c>
    </row>
    <row r="21" spans="1:14">
      <c r="A21" s="23" t="s">
        <v>288</v>
      </c>
      <c r="D21" s="67">
        <v>15</v>
      </c>
      <c r="E21" s="28" t="s">
        <v>4</v>
      </c>
      <c r="K21" s="173"/>
      <c r="L21" s="173"/>
      <c r="M21" s="173"/>
      <c r="N21" s="173"/>
    </row>
    <row r="22" spans="1:14" ht="17" thickBot="1">
      <c r="A22" s="23" t="s">
        <v>289</v>
      </c>
      <c r="D22" s="67">
        <v>100</v>
      </c>
      <c r="E22" s="28" t="s">
        <v>4</v>
      </c>
      <c r="F22" s="27" t="s">
        <v>134</v>
      </c>
      <c r="K22" s="173"/>
      <c r="L22" s="173"/>
      <c r="M22" s="173"/>
      <c r="N22" s="173"/>
    </row>
    <row r="23" spans="1:14" ht="16.5" customHeight="1" thickTop="1" thickBot="1">
      <c r="E23" s="28" t="s">
        <v>4</v>
      </c>
      <c r="F23" s="4" t="s">
        <v>147</v>
      </c>
      <c r="I23" s="72">
        <v>0</v>
      </c>
      <c r="K23" s="173" t="s">
        <v>329</v>
      </c>
      <c r="L23" s="173"/>
      <c r="M23" s="173"/>
      <c r="N23" s="173"/>
    </row>
    <row r="24" spans="1:14" ht="17" thickTop="1">
      <c r="A24" s="23" t="s">
        <v>274</v>
      </c>
      <c r="D24" s="67">
        <v>2000</v>
      </c>
      <c r="E24" s="28" t="s">
        <v>4</v>
      </c>
      <c r="F24" s="4" t="s">
        <v>135</v>
      </c>
      <c r="I24" s="73">
        <v>40</v>
      </c>
      <c r="K24" s="173" t="s">
        <v>330</v>
      </c>
      <c r="L24" s="173"/>
      <c r="M24" s="173"/>
      <c r="N24" s="173"/>
    </row>
    <row r="25" spans="1:14" ht="17" thickBot="1">
      <c r="E25" s="28" t="s">
        <v>4</v>
      </c>
      <c r="F25" s="4" t="s">
        <v>118</v>
      </c>
      <c r="I25" s="67">
        <v>3</v>
      </c>
      <c r="K25" s="173" t="s">
        <v>331</v>
      </c>
      <c r="L25" s="173"/>
      <c r="M25" s="173"/>
      <c r="N25" s="173"/>
    </row>
    <row r="26" spans="1:14" ht="18" thickTop="1" thickBot="1">
      <c r="A26" s="23" t="s">
        <v>126</v>
      </c>
      <c r="D26" s="68">
        <v>7</v>
      </c>
      <c r="E26" s="28" t="s">
        <v>4</v>
      </c>
      <c r="F26" s="4" t="s">
        <v>120</v>
      </c>
      <c r="I26" s="74">
        <v>5</v>
      </c>
      <c r="K26" s="173" t="s">
        <v>332</v>
      </c>
      <c r="L26" s="173"/>
      <c r="M26" s="173"/>
      <c r="N26" s="173"/>
    </row>
    <row r="27" spans="1:14" ht="17" thickTop="1">
      <c r="A27" s="4" t="s">
        <v>127</v>
      </c>
      <c r="D27" s="68">
        <v>5</v>
      </c>
      <c r="E27" s="34" t="s">
        <v>4</v>
      </c>
      <c r="F27" s="8" t="s">
        <v>122</v>
      </c>
      <c r="G27" s="8"/>
      <c r="H27" s="8"/>
      <c r="I27" s="75">
        <v>10</v>
      </c>
      <c r="K27" s="173" t="s">
        <v>333</v>
      </c>
      <c r="L27" s="173"/>
      <c r="M27" s="173"/>
      <c r="N27" s="173"/>
    </row>
    <row r="28" spans="1:14" ht="15.75" customHeight="1"/>
    <row r="29" spans="1:14">
      <c r="A29" s="27" t="s">
        <v>157</v>
      </c>
      <c r="E29" s="23"/>
    </row>
    <row r="30" spans="1:14">
      <c r="A30" s="27" t="s">
        <v>69</v>
      </c>
      <c r="D30" s="28"/>
    </row>
    <row r="31" spans="1:14" ht="34">
      <c r="A31" s="202"/>
      <c r="B31" s="202" t="s">
        <v>70</v>
      </c>
      <c r="C31" s="202"/>
      <c r="D31" s="202"/>
      <c r="E31" s="202"/>
      <c r="F31" s="205" t="s">
        <v>124</v>
      </c>
      <c r="G31" s="205" t="s">
        <v>159</v>
      </c>
      <c r="H31" s="205" t="s">
        <v>129</v>
      </c>
      <c r="I31" s="206" t="s">
        <v>76</v>
      </c>
    </row>
    <row r="32" spans="1:14" ht="15" customHeight="1">
      <c r="B32" s="27" t="str">
        <f>+'Step 1 - Feed Cost Input Sheet '!A24</f>
        <v>20% Liquid</v>
      </c>
      <c r="F32" s="79">
        <v>0</v>
      </c>
      <c r="G32" s="4">
        <f>+(F32/100)*$K$19</f>
        <v>0</v>
      </c>
      <c r="H32" s="35">
        <f>'Step 1 - Feed Cost Input Sheet '!B24</f>
        <v>15</v>
      </c>
      <c r="I32" s="4" t="s">
        <v>71</v>
      </c>
      <c r="K32" s="36"/>
      <c r="L32" s="36"/>
      <c r="M32" s="36"/>
      <c r="N32" s="36"/>
    </row>
    <row r="33" spans="1:14">
      <c r="B33" s="27" t="str">
        <f>+'Step 1 - Feed Cost Input Sheet '!A25</f>
        <v>Mineral &amp; Salt</v>
      </c>
      <c r="F33" s="79">
        <v>0.12</v>
      </c>
      <c r="G33" s="4">
        <f>+(F33/100)*$K$19</f>
        <v>0.252</v>
      </c>
      <c r="H33" s="35">
        <f>'Step 1 - Feed Cost Input Sheet '!B25</f>
        <v>22</v>
      </c>
      <c r="I33" s="4" t="s">
        <v>71</v>
      </c>
      <c r="K33" s="36"/>
      <c r="L33" s="36"/>
      <c r="M33" s="36"/>
      <c r="N33" s="36"/>
    </row>
    <row r="34" spans="1:14">
      <c r="B34" s="27" t="str">
        <f>+'Step 1 - Feed Cost Input Sheet '!A26</f>
        <v>Dry Corn</v>
      </c>
      <c r="F34" s="79">
        <v>0</v>
      </c>
      <c r="G34" s="4">
        <f>+(F34/56)*$K$19</f>
        <v>0</v>
      </c>
      <c r="H34" s="35">
        <f>'Step 1 - Feed Cost Input Sheet '!B26</f>
        <v>3.25</v>
      </c>
      <c r="I34" s="4" t="s">
        <v>72</v>
      </c>
      <c r="K34" s="36"/>
      <c r="L34" s="36"/>
      <c r="M34" s="36"/>
      <c r="N34" s="36"/>
    </row>
    <row r="35" spans="1:14">
      <c r="B35" s="27" t="str">
        <f>+'Step 1 - Feed Cost Input Sheet '!A27</f>
        <v>High Moisture Corn</v>
      </c>
      <c r="F35" s="79">
        <v>0</v>
      </c>
      <c r="G35" s="4">
        <f>+(F35/56)*$K$19</f>
        <v>0</v>
      </c>
      <c r="H35" s="35">
        <f>'Step 1 - Feed Cost Input Sheet '!B27</f>
        <v>2.25</v>
      </c>
      <c r="I35" s="4" t="s">
        <v>72</v>
      </c>
      <c r="K35" s="36"/>
      <c r="L35" s="36"/>
      <c r="M35" s="36"/>
      <c r="N35" s="36"/>
    </row>
    <row r="36" spans="1:14" ht="15" customHeight="1">
      <c r="B36" s="27" t="str">
        <f>+'Step 1 - Feed Cost Input Sheet '!A28</f>
        <v>Hay</v>
      </c>
      <c r="F36" s="79">
        <v>6</v>
      </c>
      <c r="G36" s="4">
        <f>+(F36/2000)*$K$19</f>
        <v>0.63</v>
      </c>
      <c r="H36" s="35">
        <f>'Step 1 - Feed Cost Input Sheet '!B28</f>
        <v>120</v>
      </c>
      <c r="I36" s="4" t="s">
        <v>73</v>
      </c>
      <c r="K36" s="36"/>
      <c r="L36" s="36"/>
      <c r="M36" s="36"/>
      <c r="N36" s="36"/>
    </row>
    <row r="37" spans="1:14">
      <c r="B37" s="27" t="str">
        <f>+'Step 1 - Feed Cost Input Sheet '!A29</f>
        <v>Alfalfa</v>
      </c>
      <c r="F37" s="79">
        <v>0</v>
      </c>
      <c r="G37" s="4">
        <f>+(F37/2000)*$K$19</f>
        <v>0</v>
      </c>
      <c r="H37" s="35">
        <f>'Step 1 - Feed Cost Input Sheet '!B29</f>
        <v>150</v>
      </c>
      <c r="I37" s="4" t="s">
        <v>73</v>
      </c>
      <c r="K37" s="36"/>
      <c r="L37" s="36"/>
      <c r="M37" s="36"/>
      <c r="N37" s="36"/>
    </row>
    <row r="38" spans="1:14">
      <c r="B38" s="27" t="str">
        <f>+'Step 1 - Feed Cost Input Sheet '!A30</f>
        <v>Silage</v>
      </c>
      <c r="F38" s="79">
        <v>24</v>
      </c>
      <c r="G38" s="4">
        <f>+(F38/2000)*$K$19</f>
        <v>2.52</v>
      </c>
      <c r="H38" s="35">
        <f>'Step 1 - Feed Cost Input Sheet '!B30</f>
        <v>32</v>
      </c>
      <c r="I38" s="4" t="s">
        <v>73</v>
      </c>
      <c r="K38" s="36"/>
      <c r="L38" s="36"/>
      <c r="M38" s="36"/>
      <c r="N38" s="36"/>
    </row>
    <row r="39" spans="1:14">
      <c r="B39" s="27" t="str">
        <f>+'Step 1 - Feed Cost Input Sheet '!A31</f>
        <v>Corn Stover</v>
      </c>
      <c r="F39" s="79">
        <v>12</v>
      </c>
      <c r="G39" s="4">
        <f>+(F39/2000)*$K$19</f>
        <v>1.26</v>
      </c>
      <c r="H39" s="35">
        <f>'Step 1 - Feed Cost Input Sheet '!B31</f>
        <v>50</v>
      </c>
      <c r="I39" s="4" t="s">
        <v>73</v>
      </c>
      <c r="K39" s="36"/>
      <c r="L39" s="36"/>
      <c r="M39" s="36"/>
      <c r="N39" s="36"/>
    </row>
    <row r="40" spans="1:14">
      <c r="B40" s="27" t="str">
        <f>+'Step 1 - Feed Cost Input Sheet '!A32</f>
        <v>Dried Distillers</v>
      </c>
      <c r="F40" s="79">
        <v>0</v>
      </c>
      <c r="G40" s="4">
        <f>+(F40/2000)*$K$19</f>
        <v>0</v>
      </c>
      <c r="H40" s="35">
        <f>'Step 1 - Feed Cost Input Sheet '!B32</f>
        <v>145</v>
      </c>
      <c r="I40" s="4" t="s">
        <v>73</v>
      </c>
      <c r="K40" s="36"/>
      <c r="L40" s="36"/>
      <c r="M40" s="36"/>
      <c r="N40" s="36"/>
    </row>
    <row r="41" spans="1:14">
      <c r="B41" s="27" t="str">
        <f>+'Step 1 - Feed Cost Input Sheet '!A33</f>
        <v>Added Feedstuff #1</v>
      </c>
      <c r="D41" s="23"/>
      <c r="F41" s="79">
        <v>0</v>
      </c>
      <c r="G41" s="4">
        <f t="shared" ref="G41:G44" si="0">+(F41/2000)*$K$19</f>
        <v>0</v>
      </c>
      <c r="H41" s="201">
        <f>'Step 1 - Feed Cost Input Sheet '!B33</f>
        <v>0</v>
      </c>
      <c r="I41" s="4" t="s">
        <v>73</v>
      </c>
    </row>
    <row r="42" spans="1:14">
      <c r="B42" s="27" t="str">
        <f>+'Step 1 - Feed Cost Input Sheet '!A34</f>
        <v>Added Feedstuff #2</v>
      </c>
      <c r="D42" s="23"/>
      <c r="F42" s="79">
        <v>0</v>
      </c>
      <c r="G42" s="4">
        <f t="shared" si="0"/>
        <v>0</v>
      </c>
      <c r="H42" s="201">
        <f>'Step 1 - Feed Cost Input Sheet '!B34</f>
        <v>0</v>
      </c>
      <c r="I42" s="4" t="s">
        <v>73</v>
      </c>
    </row>
    <row r="43" spans="1:14">
      <c r="B43" s="27" t="str">
        <f>+'Step 1 - Feed Cost Input Sheet '!A35</f>
        <v>Added Feedstuff #3</v>
      </c>
      <c r="D43" s="23"/>
      <c r="F43" s="79">
        <v>0</v>
      </c>
      <c r="G43" s="4">
        <f t="shared" si="0"/>
        <v>0</v>
      </c>
      <c r="H43" s="201">
        <f>'Step 1 - Feed Cost Input Sheet '!B35</f>
        <v>0</v>
      </c>
      <c r="I43" s="4" t="s">
        <v>73</v>
      </c>
    </row>
    <row r="44" spans="1:14">
      <c r="B44" s="27" t="str">
        <f>+'Step 1 - Feed Cost Input Sheet '!A36</f>
        <v>Added Feedstuff #4</v>
      </c>
      <c r="D44" s="23"/>
      <c r="F44" s="79">
        <v>0</v>
      </c>
      <c r="G44" s="4">
        <f t="shared" si="0"/>
        <v>0</v>
      </c>
      <c r="H44" s="201">
        <f>'Step 1 - Feed Cost Input Sheet '!B36</f>
        <v>0</v>
      </c>
      <c r="I44" s="4" t="s">
        <v>73</v>
      </c>
    </row>
    <row r="45" spans="1:14">
      <c r="B45" s="9"/>
      <c r="D45" s="23"/>
      <c r="H45" s="40"/>
    </row>
    <row r="46" spans="1:14" ht="15" customHeight="1">
      <c r="A46" s="27" t="s">
        <v>158</v>
      </c>
      <c r="B46" s="9"/>
      <c r="D46" s="23"/>
    </row>
    <row r="47" spans="1:14" ht="30" customHeight="1">
      <c r="A47" s="202"/>
      <c r="B47" s="203" t="s">
        <v>70</v>
      </c>
      <c r="C47" s="202"/>
      <c r="D47" s="204"/>
      <c r="E47" s="202"/>
      <c r="F47" s="205" t="s">
        <v>124</v>
      </c>
      <c r="G47" s="205" t="s">
        <v>159</v>
      </c>
      <c r="H47" s="205" t="s">
        <v>129</v>
      </c>
      <c r="I47" s="205" t="s">
        <v>76</v>
      </c>
    </row>
    <row r="48" spans="1:14">
      <c r="B48" s="27" t="str">
        <f>+'Step 1 - Feed Cost Input Sheet '!A24</f>
        <v>20% Liquid</v>
      </c>
      <c r="F48" s="79">
        <v>0</v>
      </c>
      <c r="G48" s="4">
        <f>+(F48/100)*$K$19</f>
        <v>0</v>
      </c>
      <c r="H48" s="35">
        <f>'Step 1 - Feed Cost Input Sheet '!B24</f>
        <v>15</v>
      </c>
      <c r="I48" s="4" t="s">
        <v>71</v>
      </c>
    </row>
    <row r="49" spans="1:9">
      <c r="B49" s="27" t="str">
        <f>+'Step 1 - Feed Cost Input Sheet '!A25</f>
        <v>Mineral &amp; Salt</v>
      </c>
      <c r="F49" s="79">
        <v>0.12</v>
      </c>
      <c r="G49" s="4">
        <f>+(F49/100)*$K$19</f>
        <v>0.252</v>
      </c>
      <c r="H49" s="35">
        <f>'Step 1 - Feed Cost Input Sheet '!B25</f>
        <v>22</v>
      </c>
      <c r="I49" s="4" t="s">
        <v>71</v>
      </c>
    </row>
    <row r="50" spans="1:9">
      <c r="B50" s="27" t="str">
        <f>+'Step 1 - Feed Cost Input Sheet '!A26</f>
        <v>Dry Corn</v>
      </c>
      <c r="F50" s="79">
        <v>0</v>
      </c>
      <c r="G50" s="4">
        <f>+(F50/56)*$K$19</f>
        <v>0</v>
      </c>
      <c r="H50" s="35">
        <f>'Step 1 - Feed Cost Input Sheet '!B26</f>
        <v>3.25</v>
      </c>
      <c r="I50" s="4" t="s">
        <v>72</v>
      </c>
    </row>
    <row r="51" spans="1:9">
      <c r="B51" s="27" t="str">
        <f>+'Step 1 - Feed Cost Input Sheet '!A27</f>
        <v>High Moisture Corn</v>
      </c>
      <c r="F51" s="79">
        <v>0</v>
      </c>
      <c r="G51" s="4">
        <f>+(F51/56)*$K$19</f>
        <v>0</v>
      </c>
      <c r="H51" s="35">
        <f>'Step 1 - Feed Cost Input Sheet '!B27</f>
        <v>2.25</v>
      </c>
      <c r="I51" s="4" t="s">
        <v>72</v>
      </c>
    </row>
    <row r="52" spans="1:9">
      <c r="B52" s="27" t="str">
        <f>+'Step 1 - Feed Cost Input Sheet '!A28</f>
        <v>Hay</v>
      </c>
      <c r="F52" s="79">
        <v>6</v>
      </c>
      <c r="G52" s="4">
        <f>+(F52/2000)*$K$19</f>
        <v>0.63</v>
      </c>
      <c r="H52" s="35">
        <f>'Step 1 - Feed Cost Input Sheet '!B28</f>
        <v>120</v>
      </c>
      <c r="I52" s="4" t="s">
        <v>73</v>
      </c>
    </row>
    <row r="53" spans="1:9">
      <c r="B53" s="27" t="str">
        <f>+'Step 1 - Feed Cost Input Sheet '!A29</f>
        <v>Alfalfa</v>
      </c>
      <c r="F53" s="79">
        <v>1</v>
      </c>
      <c r="G53" s="4">
        <f>+(F53/2000)*$K$19</f>
        <v>0.105</v>
      </c>
      <c r="H53" s="35">
        <f>'Step 1 - Feed Cost Input Sheet '!B29</f>
        <v>150</v>
      </c>
      <c r="I53" s="4" t="s">
        <v>73</v>
      </c>
    </row>
    <row r="54" spans="1:9">
      <c r="B54" s="27" t="str">
        <f>+'Step 1 - Feed Cost Input Sheet '!A30</f>
        <v>Silage</v>
      </c>
      <c r="F54" s="79">
        <v>0</v>
      </c>
      <c r="G54" s="4">
        <f>+(F54/2000)*$K$19</f>
        <v>0</v>
      </c>
      <c r="H54" s="35">
        <f>'Step 1 - Feed Cost Input Sheet '!B30</f>
        <v>32</v>
      </c>
      <c r="I54" s="4" t="s">
        <v>73</v>
      </c>
    </row>
    <row r="55" spans="1:9">
      <c r="B55" s="27" t="str">
        <f>+'Step 1 - Feed Cost Input Sheet '!A31</f>
        <v>Corn Stover</v>
      </c>
      <c r="F55" s="79">
        <v>0</v>
      </c>
      <c r="G55" s="4">
        <f>+(F55/2000)*$K$19</f>
        <v>0</v>
      </c>
      <c r="H55" s="35">
        <f>'Step 1 - Feed Cost Input Sheet '!B31</f>
        <v>50</v>
      </c>
      <c r="I55" s="4" t="s">
        <v>73</v>
      </c>
    </row>
    <row r="56" spans="1:9">
      <c r="B56" s="27" t="str">
        <f>+'Step 1 - Feed Cost Input Sheet '!A32</f>
        <v>Dried Distillers</v>
      </c>
      <c r="F56" s="79">
        <v>0</v>
      </c>
      <c r="G56" s="4">
        <f>+(F56/2000)*$K$19</f>
        <v>0</v>
      </c>
      <c r="H56" s="35">
        <f>'Step 1 - Feed Cost Input Sheet '!B32</f>
        <v>145</v>
      </c>
      <c r="I56" s="4" t="s">
        <v>73</v>
      </c>
    </row>
    <row r="57" spans="1:9">
      <c r="B57" s="27" t="str">
        <f>+'Step 1 - Feed Cost Input Sheet '!A33</f>
        <v>Added Feedstuff #1</v>
      </c>
      <c r="D57" s="23"/>
      <c r="F57" s="79">
        <v>0</v>
      </c>
      <c r="G57" s="4">
        <f t="shared" ref="G57:G60" si="1">+(F57/2000)*$K$19</f>
        <v>0</v>
      </c>
      <c r="H57" s="35">
        <f>'Step 1 - Feed Cost Input Sheet '!B33</f>
        <v>0</v>
      </c>
      <c r="I57" s="4" t="s">
        <v>73</v>
      </c>
    </row>
    <row r="58" spans="1:9">
      <c r="B58" s="27" t="str">
        <f>+'Step 1 - Feed Cost Input Sheet '!A34</f>
        <v>Added Feedstuff #2</v>
      </c>
      <c r="D58" s="23"/>
      <c r="F58" s="79">
        <v>0</v>
      </c>
      <c r="G58" s="4">
        <f t="shared" si="1"/>
        <v>0</v>
      </c>
      <c r="H58" s="35">
        <f>'Step 1 - Feed Cost Input Sheet '!B34</f>
        <v>0</v>
      </c>
      <c r="I58" s="4" t="s">
        <v>73</v>
      </c>
    </row>
    <row r="59" spans="1:9">
      <c r="B59" s="27" t="str">
        <f>+'Step 1 - Feed Cost Input Sheet '!A35</f>
        <v>Added Feedstuff #3</v>
      </c>
      <c r="D59" s="23"/>
      <c r="F59" s="79">
        <v>0</v>
      </c>
      <c r="G59" s="4">
        <f t="shared" si="1"/>
        <v>0</v>
      </c>
      <c r="H59" s="35">
        <f>'Step 1 - Feed Cost Input Sheet '!B35</f>
        <v>0</v>
      </c>
      <c r="I59" s="4" t="s">
        <v>73</v>
      </c>
    </row>
    <row r="60" spans="1:9">
      <c r="B60" s="27" t="str">
        <f>+'Step 1 - Feed Cost Input Sheet '!A36</f>
        <v>Added Feedstuff #4</v>
      </c>
      <c r="D60" s="23"/>
      <c r="F60" s="79">
        <v>0</v>
      </c>
      <c r="G60" s="4">
        <f t="shared" si="1"/>
        <v>0</v>
      </c>
      <c r="H60" s="35">
        <f>'Step 1 - Feed Cost Input Sheet '!B36</f>
        <v>0</v>
      </c>
      <c r="I60" s="4" t="s">
        <v>73</v>
      </c>
    </row>
    <row r="61" spans="1:9">
      <c r="B61" s="27" t="str">
        <f>+'Step 1 - Feed Cost Input Sheet '!A37</f>
        <v>Pasture</v>
      </c>
      <c r="D61" s="23"/>
      <c r="F61" s="207">
        <v>0</v>
      </c>
      <c r="G61" s="4">
        <f>+D27</f>
        <v>5</v>
      </c>
      <c r="H61" s="35">
        <f>'Step 1 - Feed Cost Input Sheet '!B37</f>
        <v>60</v>
      </c>
      <c r="I61" s="4" t="s">
        <v>101</v>
      </c>
    </row>
    <row r="62" spans="1:9">
      <c r="B62" s="27"/>
      <c r="D62" s="23"/>
      <c r="H62" s="77"/>
    </row>
    <row r="63" spans="1:9">
      <c r="B63" s="27"/>
      <c r="D63" s="23"/>
      <c r="H63" s="77"/>
    </row>
    <row r="64" spans="1:9" ht="19" customHeight="1">
      <c r="A64" s="189" t="s">
        <v>309</v>
      </c>
      <c r="B64" s="168"/>
      <c r="C64" s="168"/>
      <c r="D64" s="168"/>
      <c r="E64" s="168"/>
      <c r="F64" s="168"/>
      <c r="H64" s="77"/>
    </row>
    <row r="65" spans="1:9" ht="20" customHeight="1">
      <c r="A65" s="189" t="s">
        <v>334</v>
      </c>
      <c r="B65" s="168"/>
      <c r="C65" s="168"/>
      <c r="D65" s="168"/>
      <c r="E65" s="168"/>
      <c r="F65" s="168"/>
      <c r="H65" s="77"/>
    </row>
    <row r="66" spans="1:9" ht="16" customHeight="1">
      <c r="A66" s="167"/>
      <c r="B66" s="167"/>
      <c r="C66" s="167"/>
      <c r="D66" s="167"/>
      <c r="E66" s="167"/>
      <c r="F66" s="167"/>
      <c r="H66" s="77"/>
    </row>
    <row r="67" spans="1:9" ht="16" customHeight="1">
      <c r="A67" s="167"/>
      <c r="B67" s="167"/>
      <c r="C67" s="167"/>
      <c r="D67" s="167"/>
      <c r="E67" s="167"/>
      <c r="F67" s="167"/>
      <c r="H67" s="77"/>
    </row>
    <row r="68" spans="1:9" ht="16" customHeight="1">
      <c r="A68" s="167"/>
      <c r="B68" s="167"/>
      <c r="C68" s="167"/>
      <c r="D68" s="167"/>
      <c r="E68" s="167"/>
      <c r="F68" s="167"/>
      <c r="H68" s="77"/>
    </row>
    <row r="69" spans="1:9">
      <c r="A69" s="175">
        <f>+'Step 1 - Feed Cost Input Sheet '!F23</f>
        <v>46029</v>
      </c>
      <c r="B69" s="175"/>
      <c r="D69" s="23"/>
      <c r="H69" s="77"/>
    </row>
    <row r="70" spans="1:9">
      <c r="A70" s="26" t="s">
        <v>10</v>
      </c>
    </row>
    <row r="71" spans="1:9">
      <c r="A71" s="26" t="s">
        <v>143</v>
      </c>
    </row>
    <row r="72" spans="1:9">
      <c r="C72" s="23" t="str">
        <f t="shared" ref="C72:C84" si="2">+B32</f>
        <v>20% Liquid</v>
      </c>
      <c r="E72" s="7">
        <f t="shared" ref="E72:E80" si="3">+G32+G48</f>
        <v>0</v>
      </c>
      <c r="F72" s="7" t="s">
        <v>15</v>
      </c>
      <c r="G72" s="42">
        <f t="shared" ref="G72:G84" si="4">+H32</f>
        <v>15</v>
      </c>
      <c r="H72" s="42">
        <f t="shared" ref="H72:H81" si="5">+E72*G72</f>
        <v>0</v>
      </c>
    </row>
    <row r="73" spans="1:9">
      <c r="C73" s="23" t="str">
        <f t="shared" si="2"/>
        <v>Mineral &amp; Salt</v>
      </c>
      <c r="E73" s="7">
        <f t="shared" si="3"/>
        <v>0.504</v>
      </c>
      <c r="F73" s="7" t="s">
        <v>15</v>
      </c>
      <c r="G73" s="42">
        <f t="shared" si="4"/>
        <v>22</v>
      </c>
      <c r="H73" s="42">
        <f t="shared" si="5"/>
        <v>11.088000000000001</v>
      </c>
      <c r="I73" s="43"/>
    </row>
    <row r="74" spans="1:9">
      <c r="C74" s="4" t="str">
        <f t="shared" si="2"/>
        <v>Dry Corn</v>
      </c>
      <c r="E74" s="7">
        <f t="shared" si="3"/>
        <v>0</v>
      </c>
      <c r="F74" s="7" t="s">
        <v>49</v>
      </c>
      <c r="G74" s="42">
        <f t="shared" si="4"/>
        <v>3.25</v>
      </c>
      <c r="H74" s="42">
        <f t="shared" si="5"/>
        <v>0</v>
      </c>
      <c r="I74" s="43"/>
    </row>
    <row r="75" spans="1:9">
      <c r="C75" s="4" t="str">
        <f t="shared" si="2"/>
        <v>High Moisture Corn</v>
      </c>
      <c r="E75" s="7">
        <f t="shared" si="3"/>
        <v>0</v>
      </c>
      <c r="F75" s="7" t="s">
        <v>49</v>
      </c>
      <c r="G75" s="42">
        <f t="shared" si="4"/>
        <v>2.25</v>
      </c>
      <c r="H75" s="42">
        <f t="shared" si="5"/>
        <v>0</v>
      </c>
    </row>
    <row r="76" spans="1:9">
      <c r="C76" s="4" t="str">
        <f t="shared" si="2"/>
        <v>Hay</v>
      </c>
      <c r="E76" s="7">
        <f t="shared" si="3"/>
        <v>1.26</v>
      </c>
      <c r="F76" s="7" t="s">
        <v>50</v>
      </c>
      <c r="G76" s="42">
        <f t="shared" si="4"/>
        <v>120</v>
      </c>
      <c r="H76" s="42">
        <f t="shared" si="5"/>
        <v>151.19999999999999</v>
      </c>
    </row>
    <row r="77" spans="1:9">
      <c r="C77" s="4" t="str">
        <f t="shared" si="2"/>
        <v>Alfalfa</v>
      </c>
      <c r="E77" s="7">
        <f t="shared" si="3"/>
        <v>0.105</v>
      </c>
      <c r="F77" s="7" t="s">
        <v>50</v>
      </c>
      <c r="G77" s="42">
        <f t="shared" si="4"/>
        <v>150</v>
      </c>
      <c r="H77" s="42">
        <f t="shared" si="5"/>
        <v>15.75</v>
      </c>
    </row>
    <row r="78" spans="1:9">
      <c r="C78" s="4" t="str">
        <f t="shared" si="2"/>
        <v>Silage</v>
      </c>
      <c r="E78" s="7">
        <f t="shared" si="3"/>
        <v>2.52</v>
      </c>
      <c r="F78" s="7" t="s">
        <v>50</v>
      </c>
      <c r="G78" s="42">
        <f t="shared" si="4"/>
        <v>32</v>
      </c>
      <c r="H78" s="42">
        <f t="shared" si="5"/>
        <v>80.64</v>
      </c>
    </row>
    <row r="79" spans="1:9">
      <c r="C79" s="23" t="str">
        <f t="shared" si="2"/>
        <v>Corn Stover</v>
      </c>
      <c r="E79" s="7">
        <f t="shared" si="3"/>
        <v>1.26</v>
      </c>
      <c r="F79" s="7" t="s">
        <v>50</v>
      </c>
      <c r="G79" s="42">
        <f t="shared" si="4"/>
        <v>50</v>
      </c>
      <c r="H79" s="42">
        <f t="shared" si="5"/>
        <v>63</v>
      </c>
    </row>
    <row r="80" spans="1:9">
      <c r="C80" s="23" t="str">
        <f t="shared" si="2"/>
        <v>Dried Distillers</v>
      </c>
      <c r="E80" s="7">
        <f t="shared" si="3"/>
        <v>0</v>
      </c>
      <c r="F80" s="7" t="s">
        <v>50</v>
      </c>
      <c r="G80" s="42">
        <f t="shared" si="4"/>
        <v>145</v>
      </c>
      <c r="H80" s="42">
        <f t="shared" si="5"/>
        <v>0</v>
      </c>
      <c r="I80" s="43"/>
    </row>
    <row r="81" spans="1:21">
      <c r="C81" s="23" t="str">
        <f t="shared" si="2"/>
        <v>Added Feedstuff #1</v>
      </c>
      <c r="E81" s="7">
        <f>+F57</f>
        <v>0</v>
      </c>
      <c r="F81" s="7" t="s">
        <v>50</v>
      </c>
      <c r="G81" s="42">
        <f t="shared" si="4"/>
        <v>0</v>
      </c>
      <c r="H81" s="42">
        <f t="shared" si="5"/>
        <v>0</v>
      </c>
      <c r="I81" s="43"/>
    </row>
    <row r="82" spans="1:21">
      <c r="C82" s="23" t="str">
        <f t="shared" si="2"/>
        <v>Added Feedstuff #2</v>
      </c>
      <c r="E82" s="7">
        <f t="shared" ref="E82:E84" si="6">+F58</f>
        <v>0</v>
      </c>
      <c r="F82" s="7" t="s">
        <v>50</v>
      </c>
      <c r="G82" s="42">
        <f t="shared" si="4"/>
        <v>0</v>
      </c>
      <c r="H82" s="42">
        <f t="shared" ref="H82:H84" si="7">+E82*G82</f>
        <v>0</v>
      </c>
      <c r="I82" s="43"/>
    </row>
    <row r="83" spans="1:21">
      <c r="C83" s="23" t="str">
        <f t="shared" si="2"/>
        <v>Added Feedstuff #3</v>
      </c>
      <c r="E83" s="7">
        <f t="shared" si="6"/>
        <v>0</v>
      </c>
      <c r="F83" s="7" t="s">
        <v>50</v>
      </c>
      <c r="G83" s="42">
        <f t="shared" si="4"/>
        <v>0</v>
      </c>
      <c r="H83" s="42">
        <f t="shared" si="7"/>
        <v>0</v>
      </c>
      <c r="I83" s="43"/>
    </row>
    <row r="84" spans="1:21">
      <c r="C84" s="23" t="str">
        <f t="shared" si="2"/>
        <v>Added Feedstuff #4</v>
      </c>
      <c r="E84" s="7">
        <f t="shared" si="6"/>
        <v>0</v>
      </c>
      <c r="F84" s="7" t="s">
        <v>50</v>
      </c>
      <c r="G84" s="42">
        <f t="shared" si="4"/>
        <v>0</v>
      </c>
      <c r="H84" s="42">
        <f t="shared" si="7"/>
        <v>0</v>
      </c>
      <c r="I84" s="43"/>
    </row>
    <row r="85" spans="1:21">
      <c r="C85" s="23" t="str">
        <f>+B61</f>
        <v>Pasture</v>
      </c>
      <c r="E85" s="7">
        <f>+G61</f>
        <v>5</v>
      </c>
      <c r="F85" s="7" t="s">
        <v>110</v>
      </c>
      <c r="G85" s="42">
        <f>+H61</f>
        <v>60</v>
      </c>
      <c r="H85" s="42">
        <f t="shared" ref="H85" si="8">+E85*G85</f>
        <v>300</v>
      </c>
      <c r="I85" s="43"/>
    </row>
    <row r="86" spans="1:21">
      <c r="B86" s="23" t="s">
        <v>99</v>
      </c>
      <c r="I86" s="43">
        <f>+SUM(H72:H85)</f>
        <v>621.678</v>
      </c>
    </row>
    <row r="87" spans="1:21">
      <c r="B87" s="23" t="s">
        <v>16</v>
      </c>
      <c r="I87" s="43">
        <f>D14</f>
        <v>50</v>
      </c>
    </row>
    <row r="88" spans="1:21">
      <c r="B88" s="23" t="s">
        <v>17</v>
      </c>
      <c r="I88" s="43">
        <f>D15</f>
        <v>1</v>
      </c>
    </row>
    <row r="89" spans="1:21">
      <c r="B89" s="23" t="s">
        <v>18</v>
      </c>
      <c r="I89" s="43">
        <f>D16</f>
        <v>0</v>
      </c>
    </row>
    <row r="90" spans="1:21">
      <c r="B90" s="23" t="s">
        <v>121</v>
      </c>
      <c r="I90" s="44">
        <f>+IF(I23=0,(I24/I26*I25/I27),(I23*I24/I27))</f>
        <v>2.4</v>
      </c>
    </row>
    <row r="91" spans="1:21">
      <c r="B91" s="23" t="s">
        <v>278</v>
      </c>
      <c r="I91" s="45">
        <f>+D17</f>
        <v>40</v>
      </c>
    </row>
    <row r="92" spans="1:21">
      <c r="B92" s="23" t="s">
        <v>14</v>
      </c>
      <c r="D92" s="26" t="s">
        <v>19</v>
      </c>
      <c r="I92" s="46">
        <f>SUM(I86:I91)</f>
        <v>715.07799999999997</v>
      </c>
    </row>
    <row r="94" spans="1:21">
      <c r="A94" s="26" t="s">
        <v>283</v>
      </c>
    </row>
    <row r="95" spans="1:21" ht="15.75" customHeight="1">
      <c r="B95" s="23" t="s">
        <v>138</v>
      </c>
      <c r="E95" s="47">
        <f>+I14</f>
        <v>15</v>
      </c>
      <c r="F95" s="48" t="s">
        <v>272</v>
      </c>
      <c r="G95" s="49">
        <f>+I18</f>
        <v>1</v>
      </c>
      <c r="H95" s="4" t="s">
        <v>140</v>
      </c>
      <c r="I95" s="50">
        <f>+((I18*(I19/3))/I14)-((I20/3)/I14)</f>
        <v>40</v>
      </c>
      <c r="K95" s="23"/>
      <c r="L95" s="51"/>
      <c r="M95" s="51"/>
      <c r="N95" s="51"/>
      <c r="O95" s="51"/>
      <c r="P95" s="51"/>
      <c r="Q95" s="51"/>
      <c r="R95" s="51"/>
    </row>
    <row r="96" spans="1:21">
      <c r="B96" s="23" t="s">
        <v>26</v>
      </c>
      <c r="E96" s="31">
        <f>+E95</f>
        <v>15</v>
      </c>
      <c r="F96" s="48" t="s">
        <v>273</v>
      </c>
      <c r="G96" s="49">
        <f>+I16</f>
        <v>3</v>
      </c>
      <c r="H96" s="23" t="s">
        <v>141</v>
      </c>
      <c r="I96" s="44">
        <f>+(D24+I92)/I16</f>
        <v>905.02599999999995</v>
      </c>
      <c r="L96" s="51"/>
      <c r="M96" s="51"/>
      <c r="N96" s="51"/>
      <c r="O96" s="51"/>
      <c r="P96" s="51"/>
      <c r="Q96" s="51"/>
      <c r="R96" s="51"/>
      <c r="T96" s="43"/>
      <c r="U96" s="52"/>
    </row>
    <row r="97" spans="1:21">
      <c r="B97" s="23" t="s">
        <v>28</v>
      </c>
      <c r="D97" s="53"/>
      <c r="E97" s="54"/>
      <c r="F97" s="11"/>
      <c r="G97" s="43"/>
      <c r="H97" s="23"/>
      <c r="I97" s="208">
        <f>+I86</f>
        <v>621.678</v>
      </c>
      <c r="L97" s="51"/>
      <c r="M97" s="51"/>
      <c r="N97" s="51"/>
      <c r="O97" s="51"/>
      <c r="P97" s="51"/>
      <c r="Q97" s="51"/>
      <c r="R97" s="51"/>
      <c r="T97" s="43"/>
      <c r="U97" s="52"/>
    </row>
    <row r="98" spans="1:21">
      <c r="B98" s="23" t="s">
        <v>30</v>
      </c>
      <c r="D98" s="53"/>
      <c r="E98" s="54"/>
      <c r="F98" s="11"/>
      <c r="G98" s="43"/>
      <c r="H98" s="23"/>
      <c r="I98" s="55">
        <f>+SUM(I87:I91)</f>
        <v>93.4</v>
      </c>
      <c r="L98" s="51"/>
      <c r="M98" s="51"/>
      <c r="N98" s="51"/>
      <c r="O98" s="51"/>
      <c r="P98" s="51"/>
      <c r="Q98" s="51"/>
      <c r="R98" s="51"/>
      <c r="T98" s="43"/>
      <c r="U98" s="52"/>
    </row>
    <row r="99" spans="1:21" ht="17" thickBot="1">
      <c r="B99" s="23" t="s">
        <v>142</v>
      </c>
      <c r="D99" s="23" t="s">
        <v>146</v>
      </c>
      <c r="F99" s="11"/>
      <c r="G99" s="43"/>
      <c r="H99" s="23"/>
      <c r="I99" s="56">
        <f>(D21+D22+SUM(I95:I98))*(D20/100)</f>
        <v>159.75935999999999</v>
      </c>
      <c r="T99" s="43"/>
      <c r="U99" s="52"/>
    </row>
    <row r="100" spans="1:21" ht="17" thickTop="1">
      <c r="B100" s="27" t="s">
        <v>271</v>
      </c>
      <c r="D100" s="23"/>
      <c r="I100" s="35">
        <f>SUM(I95:I99)</f>
        <v>1819.8633600000001</v>
      </c>
      <c r="T100" s="43"/>
      <c r="U100" s="52"/>
    </row>
    <row r="101" spans="1:21" ht="17" thickBot="1">
      <c r="B101" s="27"/>
      <c r="D101" s="23"/>
      <c r="I101" s="35"/>
      <c r="T101" s="43"/>
      <c r="U101" s="52"/>
    </row>
    <row r="102" spans="1:21" ht="17" thickBot="1">
      <c r="A102" s="27" t="s">
        <v>275</v>
      </c>
      <c r="B102" s="27"/>
      <c r="D102" s="23"/>
      <c r="I102" s="57">
        <f>I100+D24</f>
        <v>3819.8633600000003</v>
      </c>
      <c r="T102" s="43"/>
      <c r="U102" s="52"/>
    </row>
    <row r="103" spans="1:21">
      <c r="T103" s="43"/>
      <c r="U103" s="52"/>
    </row>
    <row r="104" spans="1:21">
      <c r="A104" s="26" t="s">
        <v>165</v>
      </c>
      <c r="T104" s="58"/>
    </row>
    <row r="105" spans="1:21" ht="16" customHeight="1">
      <c r="B105" s="177"/>
      <c r="C105" s="180" t="s">
        <v>148</v>
      </c>
      <c r="D105" s="180"/>
      <c r="E105" s="180"/>
      <c r="F105" s="180"/>
      <c r="G105" s="180"/>
      <c r="H105" s="180"/>
      <c r="I105" s="180"/>
      <c r="N105" s="23"/>
      <c r="T105" s="43"/>
      <c r="U105" s="52"/>
    </row>
    <row r="106" spans="1:21" ht="21" customHeight="1">
      <c r="A106" s="176"/>
      <c r="B106" s="179" t="s">
        <v>132</v>
      </c>
      <c r="C106" s="210">
        <f>+G85-10</f>
        <v>50</v>
      </c>
      <c r="D106" s="209">
        <f>+G85</f>
        <v>60</v>
      </c>
      <c r="E106" s="209">
        <f>+G85+10</f>
        <v>70</v>
      </c>
      <c r="F106" s="209">
        <f>+G85+15</f>
        <v>75</v>
      </c>
      <c r="G106" s="209">
        <f>+G85+20</f>
        <v>80</v>
      </c>
      <c r="H106" s="209">
        <f>+G85+25</f>
        <v>85</v>
      </c>
      <c r="I106" s="209">
        <f>+G85+30</f>
        <v>90</v>
      </c>
      <c r="K106" s="23"/>
      <c r="M106" s="7"/>
      <c r="O106" s="11"/>
      <c r="P106" s="43"/>
      <c r="Q106" s="23"/>
      <c r="R106" s="43"/>
    </row>
    <row r="107" spans="1:21">
      <c r="A107" s="61"/>
      <c r="B107" s="62">
        <f>+H37-10</f>
        <v>140</v>
      </c>
      <c r="C107" s="63">
        <f>+SUM($H$72:$H$75)+$H$76+($E$77*B107)+SUM($H$78:$H$84)+($E$85*C106)</f>
        <v>570.62799999999993</v>
      </c>
      <c r="D107" s="63">
        <f t="shared" ref="D107:D112" si="9">+SUM($H$72:$H$75)+$H$76+($E$77*B107)+SUM($H$78:$H$84)+($E$85*$D$106)</f>
        <v>620.62799999999993</v>
      </c>
      <c r="E107" s="63">
        <f t="shared" ref="E107:E112" si="10">+SUM($H$72:$H$75)+$H$76+($E$77*B107)+SUM($H$78:$H$84)+($E$85*$E$106)</f>
        <v>670.62799999999993</v>
      </c>
      <c r="F107" s="63">
        <f t="shared" ref="F107:F112" si="11">+SUM($H$72:$H$75)+$H$76+($E$77*B107)+SUM($H$78:$H$84)+($E$85*$F$106)</f>
        <v>695.62799999999993</v>
      </c>
      <c r="G107" s="63">
        <f t="shared" ref="G107:G112" si="12">+SUM($H$72:$H$75)+$H$76+($E$77*B107)+SUM($H$78:$H$84)+($E$85*$G$106)</f>
        <v>720.62799999999993</v>
      </c>
      <c r="H107" s="63">
        <f t="shared" ref="H107:H112" si="13">+SUM($H$72:$H$75)+$H$76+($E$77*B107)+SUM($H$78:$H$84)+($E$85*$H$106)</f>
        <v>745.62799999999993</v>
      </c>
      <c r="I107" s="63">
        <f t="shared" ref="I107:I112" si="14">+SUM($H$72:$H$75)+$H$76+($E$77*B107)+SUM($H$78:$H$84)+($E$85*$I$106)</f>
        <v>770.62799999999993</v>
      </c>
      <c r="K107" s="23"/>
      <c r="M107" s="53"/>
      <c r="O107" s="11"/>
      <c r="P107" s="43"/>
      <c r="Q107" s="23"/>
      <c r="R107" s="43"/>
    </row>
    <row r="108" spans="1:21">
      <c r="B108" s="62">
        <f>+H37</f>
        <v>150</v>
      </c>
      <c r="C108" s="63">
        <f>+SUM($H$72:$H$75)+$H$76+($E$77*B108)+SUM($H$78:$H$84)+($E$85*$C$106)</f>
        <v>571.678</v>
      </c>
      <c r="D108" s="63">
        <f t="shared" si="9"/>
        <v>621.678</v>
      </c>
      <c r="E108" s="63">
        <f t="shared" si="10"/>
        <v>671.678</v>
      </c>
      <c r="F108" s="63">
        <f t="shared" si="11"/>
        <v>696.678</v>
      </c>
      <c r="G108" s="63">
        <f t="shared" si="12"/>
        <v>721.678</v>
      </c>
      <c r="H108" s="63">
        <f t="shared" si="13"/>
        <v>746.678</v>
      </c>
      <c r="I108" s="63">
        <f t="shared" si="14"/>
        <v>771.678</v>
      </c>
      <c r="M108" s="26"/>
      <c r="R108" s="46"/>
    </row>
    <row r="109" spans="1:21">
      <c r="B109" s="62">
        <f>+B108+10</f>
        <v>160</v>
      </c>
      <c r="C109" s="63">
        <f>+SUM($H$72:$H$75)+$H$76+($E$77*B109)+SUM($H$78:$H$84)+($E$85*$C$106)</f>
        <v>572.72799999999995</v>
      </c>
      <c r="D109" s="63">
        <f t="shared" si="9"/>
        <v>622.72799999999995</v>
      </c>
      <c r="E109" s="63">
        <f t="shared" si="10"/>
        <v>672.72799999999995</v>
      </c>
      <c r="F109" s="63">
        <f t="shared" si="11"/>
        <v>697.72799999999995</v>
      </c>
      <c r="G109" s="63">
        <f t="shared" si="12"/>
        <v>722.72799999999995</v>
      </c>
      <c r="H109" s="63">
        <f t="shared" si="13"/>
        <v>747.72799999999995</v>
      </c>
      <c r="I109" s="63">
        <f t="shared" si="14"/>
        <v>772.72799999999995</v>
      </c>
    </row>
    <row r="110" spans="1:21">
      <c r="B110" s="62">
        <f>+B109+10</f>
        <v>170</v>
      </c>
      <c r="C110" s="63">
        <f>+SUM($H$72:$H$75)+$H$76+($E$77*B110)+SUM($H$78:$H$84)+($E$85*$C$106)</f>
        <v>573.77800000000002</v>
      </c>
      <c r="D110" s="63">
        <f t="shared" si="9"/>
        <v>623.77800000000002</v>
      </c>
      <c r="E110" s="63">
        <f t="shared" si="10"/>
        <v>673.77800000000002</v>
      </c>
      <c r="F110" s="63">
        <f t="shared" si="11"/>
        <v>698.77800000000002</v>
      </c>
      <c r="G110" s="63">
        <f t="shared" si="12"/>
        <v>723.77800000000002</v>
      </c>
      <c r="H110" s="63">
        <f t="shared" si="13"/>
        <v>748.77800000000002</v>
      </c>
      <c r="I110" s="63">
        <f t="shared" si="14"/>
        <v>773.77800000000002</v>
      </c>
    </row>
    <row r="111" spans="1:21">
      <c r="B111" s="62">
        <f>+B110+10</f>
        <v>180</v>
      </c>
      <c r="C111" s="63">
        <f>+SUM($H$72:$H$75)+$H$76+($E$77*B111)+SUM($H$78:$H$84)+($E$85*$C$106)</f>
        <v>574.82799999999997</v>
      </c>
      <c r="D111" s="63">
        <f t="shared" si="9"/>
        <v>624.82799999999997</v>
      </c>
      <c r="E111" s="63">
        <f t="shared" si="10"/>
        <v>674.82799999999997</v>
      </c>
      <c r="F111" s="63">
        <f t="shared" si="11"/>
        <v>699.82799999999997</v>
      </c>
      <c r="G111" s="63">
        <f t="shared" si="12"/>
        <v>724.82799999999997</v>
      </c>
      <c r="H111" s="63">
        <f t="shared" si="13"/>
        <v>749.82799999999997</v>
      </c>
      <c r="I111" s="63">
        <f t="shared" si="14"/>
        <v>774.82799999999997</v>
      </c>
    </row>
    <row r="112" spans="1:21">
      <c r="B112" s="62">
        <f>+B111+10</f>
        <v>190</v>
      </c>
      <c r="C112" s="63">
        <f>+SUM($H$72:$H$75)+$H$76+($E$77*B112)+SUM($H$78:$H$84)+($E$85*$C$106)</f>
        <v>575.87799999999993</v>
      </c>
      <c r="D112" s="63">
        <f t="shared" si="9"/>
        <v>625.87799999999993</v>
      </c>
      <c r="E112" s="63">
        <f t="shared" si="10"/>
        <v>675.87799999999993</v>
      </c>
      <c r="F112" s="63">
        <f t="shared" si="11"/>
        <v>700.87799999999993</v>
      </c>
      <c r="G112" s="63">
        <f t="shared" si="12"/>
        <v>725.87799999999993</v>
      </c>
      <c r="H112" s="63">
        <f t="shared" si="13"/>
        <v>750.87799999999993</v>
      </c>
      <c r="I112" s="63">
        <f t="shared" si="14"/>
        <v>775.87799999999993</v>
      </c>
    </row>
  </sheetData>
  <sheetProtection algorithmName="SHA-512" hashValue="c+EYK4S68GClhF0dfy2wdgt732lKYv0xq339Gqk2W93UHQouIWcSJ909YVGrlXnfsAkUUXUqnOaGOer0/G+X0w==" saltValue="G2w/V8qkuE8Od6XT2GAURQ==" spinCount="100000" sheet="1" objects="1" scenarios="1"/>
  <conditionalFormatting sqref="C107:I112">
    <cfRule type="colorScale" priority="1">
      <colorScale>
        <cfvo type="min"/>
        <cfvo type="percentile" val="50"/>
        <cfvo type="max"/>
        <color rgb="FF00B050"/>
        <color rgb="FFFFEB84"/>
        <color rgb="FFFF0000"/>
      </colorScale>
    </cfRule>
    <cfRule type="colorScale" priority="2">
      <colorScale>
        <cfvo type="min"/>
        <cfvo type="num" val="$D$108"/>
        <cfvo type="max"/>
        <color rgb="FF00B050"/>
        <color rgb="FFFFEB84"/>
        <color rgb="FFFF0000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4">
    <cfRule type="iconSet" priority="8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A44"/>
    <pageSetUpPr fitToPage="1"/>
  </sheetPr>
  <dimension ref="A2:U121"/>
  <sheetViews>
    <sheetView zoomScaleNormal="100" workbookViewId="0">
      <selection activeCell="I72" sqref="I72"/>
    </sheetView>
  </sheetViews>
  <sheetFormatPr baseColWidth="10" defaultColWidth="9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5" customWidth="1"/>
    <col min="11" max="16384" width="9" style="4"/>
  </cols>
  <sheetData>
    <row r="2" spans="1:11" ht="20" customHeight="1">
      <c r="A2" s="189" t="s">
        <v>327</v>
      </c>
      <c r="B2" s="168"/>
      <c r="C2" s="168"/>
      <c r="D2" s="168"/>
      <c r="E2" s="168"/>
      <c r="F2" s="168"/>
    </row>
    <row r="3" spans="1:11" ht="19" customHeight="1">
      <c r="A3" s="189" t="s">
        <v>335</v>
      </c>
      <c r="B3" s="168"/>
      <c r="C3" s="168"/>
      <c r="D3" s="168"/>
      <c r="E3" s="168"/>
      <c r="F3" s="168"/>
    </row>
    <row r="4" spans="1:11" ht="16" customHeight="1">
      <c r="A4" s="167"/>
      <c r="B4" s="167"/>
      <c r="C4" s="167"/>
      <c r="D4" s="167"/>
      <c r="E4" s="167"/>
      <c r="F4" s="167"/>
    </row>
    <row r="5" spans="1:11" ht="16" customHeight="1">
      <c r="A5" s="167"/>
      <c r="B5" s="167"/>
      <c r="C5" s="167"/>
      <c r="D5" s="167"/>
      <c r="E5" s="167"/>
      <c r="F5" s="167"/>
    </row>
    <row r="6" spans="1:11" ht="16" customHeight="1">
      <c r="A6" s="167"/>
      <c r="B6" s="167"/>
      <c r="C6" s="167"/>
      <c r="D6" s="167"/>
      <c r="E6" s="167"/>
      <c r="F6" s="167"/>
    </row>
    <row r="7" spans="1:11">
      <c r="A7" s="175">
        <f>+'Step 1 - Feed Cost Input Sheet '!F23</f>
        <v>46029</v>
      </c>
      <c r="B7" s="175"/>
    </row>
    <row r="9" spans="1:11">
      <c r="A9" s="174" t="s">
        <v>280</v>
      </c>
      <c r="B9" s="174"/>
      <c r="C9" s="174"/>
      <c r="D9" s="174"/>
      <c r="E9" s="174"/>
      <c r="F9" s="174"/>
      <c r="G9" s="174"/>
      <c r="H9" s="174"/>
      <c r="I9" s="174"/>
    </row>
    <row r="10" spans="1:11">
      <c r="A10" s="174" t="s">
        <v>292</v>
      </c>
      <c r="B10" s="174"/>
      <c r="C10" s="174"/>
      <c r="D10" s="174"/>
      <c r="E10" s="174"/>
      <c r="F10" s="174"/>
      <c r="G10" s="174"/>
      <c r="H10" s="174"/>
      <c r="I10" s="174"/>
    </row>
    <row r="11" spans="1:11">
      <c r="B11" s="23"/>
      <c r="C11" s="23"/>
    </row>
    <row r="12" spans="1:11" ht="17" thickBot="1">
      <c r="A12" s="23" t="s">
        <v>281</v>
      </c>
    </row>
    <row r="13" spans="1:11" ht="17" thickBot="1">
      <c r="A13" s="24" t="s">
        <v>0</v>
      </c>
      <c r="B13" s="25"/>
      <c r="C13" s="25"/>
      <c r="D13" s="24" t="s">
        <v>1</v>
      </c>
      <c r="E13" s="25"/>
      <c r="F13" s="24" t="s">
        <v>0</v>
      </c>
      <c r="G13" s="25"/>
      <c r="H13" s="24" t="s">
        <v>2</v>
      </c>
      <c r="I13" s="25"/>
    </row>
    <row r="14" spans="1:11">
      <c r="A14" s="26" t="s">
        <v>145</v>
      </c>
      <c r="D14" s="27"/>
      <c r="E14" s="28" t="s">
        <v>4</v>
      </c>
      <c r="F14" s="27" t="s">
        <v>152</v>
      </c>
    </row>
    <row r="15" spans="1:11">
      <c r="A15" s="23" t="s">
        <v>284</v>
      </c>
      <c r="D15" s="64">
        <v>50</v>
      </c>
      <c r="E15" s="28" t="s">
        <v>4</v>
      </c>
      <c r="F15" s="4" t="s">
        <v>125</v>
      </c>
      <c r="I15" s="69">
        <v>200</v>
      </c>
      <c r="K15" s="23"/>
    </row>
    <row r="16" spans="1:11">
      <c r="A16" s="23" t="s">
        <v>285</v>
      </c>
      <c r="D16" s="64">
        <v>1</v>
      </c>
      <c r="E16" s="28" t="s">
        <v>4</v>
      </c>
      <c r="F16" s="4" t="s">
        <v>150</v>
      </c>
      <c r="I16" s="71">
        <v>3000</v>
      </c>
    </row>
    <row r="17" spans="1:14">
      <c r="A17" s="23" t="s">
        <v>286</v>
      </c>
      <c r="D17" s="64">
        <v>0</v>
      </c>
      <c r="E17" s="28" t="s">
        <v>4</v>
      </c>
      <c r="F17" s="4" t="s">
        <v>144</v>
      </c>
      <c r="I17" s="94">
        <v>6</v>
      </c>
      <c r="K17" s="29"/>
      <c r="L17" s="181"/>
      <c r="M17" s="181"/>
      <c r="N17" s="181"/>
    </row>
    <row r="18" spans="1:14">
      <c r="A18" s="23" t="s">
        <v>131</v>
      </c>
      <c r="D18" s="65">
        <v>0</v>
      </c>
      <c r="E18" s="28" t="s">
        <v>4</v>
      </c>
      <c r="F18" s="4" t="s">
        <v>151</v>
      </c>
      <c r="I18" s="67">
        <v>2550</v>
      </c>
      <c r="K18" s="181"/>
      <c r="L18" s="181"/>
      <c r="M18" s="181"/>
      <c r="N18" s="181"/>
    </row>
    <row r="19" spans="1:14">
      <c r="E19" s="28" t="s">
        <v>4</v>
      </c>
      <c r="F19" s="4" t="s">
        <v>136</v>
      </c>
      <c r="I19" s="69">
        <v>6</v>
      </c>
    </row>
    <row r="20" spans="1:14">
      <c r="A20" s="26" t="s">
        <v>149</v>
      </c>
      <c r="E20" s="28" t="s">
        <v>4</v>
      </c>
      <c r="F20" s="23" t="s">
        <v>137</v>
      </c>
      <c r="I20" s="71">
        <v>5000</v>
      </c>
      <c r="K20" s="31">
        <f>+D25*30</f>
        <v>210</v>
      </c>
      <c r="L20" s="4" t="s">
        <v>128</v>
      </c>
    </row>
    <row r="21" spans="1:14">
      <c r="A21" s="23" t="s">
        <v>95</v>
      </c>
      <c r="D21" s="66">
        <v>9</v>
      </c>
      <c r="E21" s="28" t="s">
        <v>4</v>
      </c>
      <c r="F21" s="4" t="s">
        <v>162</v>
      </c>
      <c r="I21" s="12">
        <v>0.85</v>
      </c>
      <c r="K21" s="31">
        <f>+D26*30</f>
        <v>150</v>
      </c>
      <c r="L21" s="4" t="s">
        <v>130</v>
      </c>
    </row>
    <row r="22" spans="1:14">
      <c r="A22" s="23" t="s">
        <v>96</v>
      </c>
      <c r="D22" s="67">
        <v>15</v>
      </c>
      <c r="E22" s="28" t="s">
        <v>4</v>
      </c>
    </row>
    <row r="23" spans="1:14" ht="17" thickBot="1">
      <c r="A23" s="23" t="s">
        <v>97</v>
      </c>
      <c r="D23" s="67">
        <v>40</v>
      </c>
      <c r="E23" s="28" t="s">
        <v>4</v>
      </c>
      <c r="F23" s="27" t="s">
        <v>134</v>
      </c>
    </row>
    <row r="24" spans="1:14" ht="16.5" customHeight="1" thickTop="1" thickBot="1">
      <c r="D24" s="80"/>
      <c r="E24" s="28" t="s">
        <v>4</v>
      </c>
      <c r="F24" s="4" t="s">
        <v>147</v>
      </c>
      <c r="I24" s="72">
        <v>0</v>
      </c>
      <c r="K24" s="173" t="s">
        <v>336</v>
      </c>
      <c r="L24" s="173"/>
      <c r="M24" s="173"/>
      <c r="N24" s="173"/>
    </row>
    <row r="25" spans="1:14" ht="17" thickTop="1">
      <c r="A25" s="23" t="s">
        <v>126</v>
      </c>
      <c r="D25" s="68">
        <v>7</v>
      </c>
      <c r="E25" s="28" t="s">
        <v>4</v>
      </c>
      <c r="F25" s="4" t="s">
        <v>135</v>
      </c>
      <c r="I25" s="73">
        <v>1</v>
      </c>
      <c r="K25" s="173" t="s">
        <v>337</v>
      </c>
      <c r="L25" s="173"/>
      <c r="M25" s="173"/>
      <c r="N25" s="173"/>
    </row>
    <row r="26" spans="1:14" ht="17" thickBot="1">
      <c r="A26" s="4" t="s">
        <v>127</v>
      </c>
      <c r="D26" s="68">
        <v>5</v>
      </c>
      <c r="E26" s="28" t="s">
        <v>4</v>
      </c>
      <c r="F26" s="4" t="s">
        <v>118</v>
      </c>
      <c r="I26" s="67">
        <v>3</v>
      </c>
      <c r="K26" s="173" t="s">
        <v>338</v>
      </c>
      <c r="L26" s="173"/>
      <c r="M26" s="173"/>
      <c r="N26" s="173"/>
    </row>
    <row r="27" spans="1:14" ht="18" thickTop="1" thickBot="1">
      <c r="E27" s="28" t="s">
        <v>4</v>
      </c>
      <c r="F27" s="4" t="s">
        <v>120</v>
      </c>
      <c r="I27" s="74">
        <v>1</v>
      </c>
      <c r="K27" s="173" t="s">
        <v>339</v>
      </c>
      <c r="L27" s="173"/>
      <c r="M27" s="173"/>
      <c r="N27" s="173"/>
    </row>
    <row r="28" spans="1:14" ht="17" thickTop="1">
      <c r="A28" s="27" t="s">
        <v>168</v>
      </c>
      <c r="E28" s="34" t="s">
        <v>4</v>
      </c>
      <c r="F28" s="8" t="s">
        <v>122</v>
      </c>
      <c r="G28" s="8"/>
      <c r="H28" s="8"/>
      <c r="I28" s="75">
        <v>10</v>
      </c>
      <c r="K28" s="173"/>
      <c r="L28" s="173"/>
      <c r="M28" s="173"/>
      <c r="N28" s="173"/>
    </row>
    <row r="29" spans="1:14">
      <c r="A29" s="4" t="s">
        <v>293</v>
      </c>
      <c r="D29" s="73">
        <v>5</v>
      </c>
      <c r="E29" s="28"/>
      <c r="I29" s="81"/>
    </row>
    <row r="30" spans="1:14">
      <c r="A30" s="4" t="s">
        <v>167</v>
      </c>
      <c r="D30" s="67">
        <v>400</v>
      </c>
      <c r="E30" s="28"/>
      <c r="I30" s="81"/>
    </row>
    <row r="31" spans="1:14" ht="15.75" customHeight="1">
      <c r="D31" s="82"/>
    </row>
    <row r="32" spans="1:14" ht="16" customHeight="1">
      <c r="A32" s="27" t="s">
        <v>69</v>
      </c>
      <c r="D32" s="28"/>
    </row>
    <row r="33" spans="1:14" ht="34">
      <c r="A33" s="202"/>
      <c r="B33" s="202" t="s">
        <v>70</v>
      </c>
      <c r="C33" s="202"/>
      <c r="D33" s="202"/>
      <c r="E33" s="202"/>
      <c r="F33" s="211" t="s">
        <v>124</v>
      </c>
      <c r="G33" s="202"/>
      <c r="H33" s="211" t="s">
        <v>129</v>
      </c>
      <c r="I33" s="202" t="s">
        <v>76</v>
      </c>
    </row>
    <row r="34" spans="1:14" ht="15" customHeight="1">
      <c r="B34" s="27" t="str">
        <f>+'Step 1 - Feed Cost Input Sheet '!A24</f>
        <v>20% Liquid</v>
      </c>
      <c r="F34" s="79">
        <v>0</v>
      </c>
      <c r="G34" s="4">
        <f>+(F34/100)*$K$20</f>
        <v>0</v>
      </c>
      <c r="H34" s="35">
        <f>+'Step 1 - Feed Cost Input Sheet '!B24</f>
        <v>15</v>
      </c>
      <c r="I34" s="4" t="s">
        <v>71</v>
      </c>
      <c r="K34" s="29" t="s">
        <v>340</v>
      </c>
      <c r="L34" s="29"/>
      <c r="M34" s="29"/>
      <c r="N34" s="29"/>
    </row>
    <row r="35" spans="1:14">
      <c r="B35" s="27" t="str">
        <f>+'Step 1 - Feed Cost Input Sheet '!A25</f>
        <v>Mineral &amp; Salt</v>
      </c>
      <c r="F35" s="79">
        <v>0.12</v>
      </c>
      <c r="G35" s="4">
        <f>+(F35/100)*$K$20</f>
        <v>0.252</v>
      </c>
      <c r="H35" s="35">
        <f>+'Step 1 - Feed Cost Input Sheet '!B25</f>
        <v>22</v>
      </c>
      <c r="I35" s="4" t="s">
        <v>71</v>
      </c>
      <c r="K35" s="29" t="s">
        <v>341</v>
      </c>
      <c r="L35" s="29"/>
      <c r="M35" s="29"/>
      <c r="N35" s="29"/>
    </row>
    <row r="36" spans="1:14">
      <c r="B36" s="27" t="str">
        <f>+'Step 1 - Feed Cost Input Sheet '!A26</f>
        <v>Dry Corn</v>
      </c>
      <c r="F36" s="79">
        <v>0</v>
      </c>
      <c r="G36" s="4">
        <f>+(F36/56)*$K$20</f>
        <v>0</v>
      </c>
      <c r="H36" s="35">
        <f>+'Step 1 - Feed Cost Input Sheet '!B26</f>
        <v>3.25</v>
      </c>
      <c r="I36" s="4" t="s">
        <v>72</v>
      </c>
      <c r="K36" s="29" t="s">
        <v>342</v>
      </c>
      <c r="L36" s="29"/>
      <c r="M36" s="29"/>
      <c r="N36" s="29"/>
    </row>
    <row r="37" spans="1:14">
      <c r="B37" s="27" t="str">
        <f>+'Step 1 - Feed Cost Input Sheet '!A27</f>
        <v>High Moisture Corn</v>
      </c>
      <c r="F37" s="79">
        <v>0</v>
      </c>
      <c r="G37" s="4">
        <f>+(F37/56)*$K$20</f>
        <v>0</v>
      </c>
      <c r="H37" s="35">
        <f>+'Step 1 - Feed Cost Input Sheet '!B27</f>
        <v>2.25</v>
      </c>
      <c r="I37" s="4" t="s">
        <v>72</v>
      </c>
      <c r="K37" s="29" t="s">
        <v>343</v>
      </c>
      <c r="L37" s="29"/>
      <c r="M37" s="29"/>
      <c r="N37" s="29"/>
    </row>
    <row r="38" spans="1:14" ht="15" customHeight="1">
      <c r="B38" s="27" t="str">
        <f>+'Step 1 - Feed Cost Input Sheet '!A28</f>
        <v>Hay</v>
      </c>
      <c r="F38" s="79">
        <v>6</v>
      </c>
      <c r="G38" s="4">
        <f>+(F38/2000)*$K$20</f>
        <v>0.63</v>
      </c>
      <c r="H38" s="35">
        <f>+'Step 1 - Feed Cost Input Sheet '!B28</f>
        <v>120</v>
      </c>
      <c r="I38" s="4" t="s">
        <v>73</v>
      </c>
      <c r="K38" s="29" t="s">
        <v>344</v>
      </c>
      <c r="L38" s="29"/>
      <c r="M38" s="29"/>
      <c r="N38" s="29"/>
    </row>
    <row r="39" spans="1:14">
      <c r="B39" s="27" t="str">
        <f>+'Step 1 - Feed Cost Input Sheet '!A29</f>
        <v>Alfalfa</v>
      </c>
      <c r="F39" s="79">
        <v>2</v>
      </c>
      <c r="G39" s="4">
        <f>+(F39/2000)*$K$20</f>
        <v>0.21</v>
      </c>
      <c r="H39" s="35">
        <f>+'Step 1 - Feed Cost Input Sheet '!B29</f>
        <v>150</v>
      </c>
      <c r="I39" s="4" t="s">
        <v>73</v>
      </c>
      <c r="K39" s="29" t="s">
        <v>345</v>
      </c>
      <c r="L39" s="29"/>
      <c r="M39" s="29"/>
      <c r="N39" s="29"/>
    </row>
    <row r="40" spans="1:14">
      <c r="B40" s="27" t="str">
        <f>+'Step 1 - Feed Cost Input Sheet '!A30</f>
        <v>Silage</v>
      </c>
      <c r="F40" s="79">
        <v>24</v>
      </c>
      <c r="G40" s="4">
        <f>+(F40/2000)*$K$20</f>
        <v>2.52</v>
      </c>
      <c r="H40" s="35">
        <f>+'Step 1 - Feed Cost Input Sheet '!B30</f>
        <v>32</v>
      </c>
      <c r="I40" s="4" t="s">
        <v>73</v>
      </c>
      <c r="K40" s="29" t="s">
        <v>346</v>
      </c>
      <c r="L40" s="29"/>
      <c r="M40" s="29"/>
      <c r="N40" s="29"/>
    </row>
    <row r="41" spans="1:14">
      <c r="B41" s="27" t="str">
        <f>+'Step 1 - Feed Cost Input Sheet '!A31</f>
        <v>Corn Stover</v>
      </c>
      <c r="F41" s="79">
        <v>12</v>
      </c>
      <c r="G41" s="4">
        <f>+(F41/2000)*$K$20</f>
        <v>1.26</v>
      </c>
      <c r="H41" s="35">
        <f>+'Step 1 - Feed Cost Input Sheet '!B31</f>
        <v>50</v>
      </c>
      <c r="I41" s="4" t="s">
        <v>73</v>
      </c>
      <c r="K41" s="29" t="s">
        <v>347</v>
      </c>
      <c r="L41" s="29"/>
      <c r="M41" s="29"/>
      <c r="N41" s="29"/>
    </row>
    <row r="42" spans="1:14">
      <c r="B42" s="27" t="str">
        <f>+'Step 1 - Feed Cost Input Sheet '!A32</f>
        <v>Dried Distillers</v>
      </c>
      <c r="F42" s="79">
        <v>0</v>
      </c>
      <c r="G42" s="4">
        <f>+(F42/2000)*$K$20</f>
        <v>0</v>
      </c>
      <c r="H42" s="35">
        <f>+'Step 1 - Feed Cost Input Sheet '!B32</f>
        <v>145</v>
      </c>
      <c r="I42" s="4" t="s">
        <v>73</v>
      </c>
      <c r="K42" s="29"/>
      <c r="L42" s="29"/>
      <c r="M42" s="29"/>
      <c r="N42" s="29"/>
    </row>
    <row r="43" spans="1:14">
      <c r="B43" s="27" t="str">
        <f>+'Step 1 - Feed Cost Input Sheet '!A33</f>
        <v>Added Feedstuff #1</v>
      </c>
      <c r="F43" s="79">
        <v>0</v>
      </c>
      <c r="G43" s="4">
        <f t="shared" ref="G43:G46" si="0">+(F43/2000)*$K$20</f>
        <v>0</v>
      </c>
      <c r="H43" s="35">
        <f>+'Step 1 - Feed Cost Input Sheet '!B33</f>
        <v>0</v>
      </c>
      <c r="I43" s="4" t="s">
        <v>73</v>
      </c>
      <c r="K43" s="29"/>
      <c r="L43" s="29"/>
      <c r="M43" s="29"/>
      <c r="N43" s="29"/>
    </row>
    <row r="44" spans="1:14">
      <c r="B44" s="27" t="str">
        <f>+'Step 1 - Feed Cost Input Sheet '!A34</f>
        <v>Added Feedstuff #2</v>
      </c>
      <c r="F44" s="79">
        <v>0</v>
      </c>
      <c r="G44" s="4">
        <f t="shared" si="0"/>
        <v>0</v>
      </c>
      <c r="H44" s="35">
        <f>+'Step 1 - Feed Cost Input Sheet '!B34</f>
        <v>0</v>
      </c>
      <c r="I44" s="4" t="s">
        <v>73</v>
      </c>
      <c r="K44" s="29"/>
      <c r="L44" s="29"/>
      <c r="M44" s="29"/>
      <c r="N44" s="29"/>
    </row>
    <row r="45" spans="1:14">
      <c r="B45" s="27" t="str">
        <f>+'Step 1 - Feed Cost Input Sheet '!A35</f>
        <v>Added Feedstuff #3</v>
      </c>
      <c r="F45" s="79">
        <v>0</v>
      </c>
      <c r="G45" s="4">
        <f t="shared" si="0"/>
        <v>0</v>
      </c>
      <c r="H45" s="35">
        <f>+'Step 1 - Feed Cost Input Sheet '!B35</f>
        <v>0</v>
      </c>
      <c r="I45" s="4" t="s">
        <v>73</v>
      </c>
      <c r="K45" s="29"/>
      <c r="L45" s="29"/>
      <c r="M45" s="29"/>
      <c r="N45" s="29"/>
    </row>
    <row r="46" spans="1:14">
      <c r="B46" s="27" t="str">
        <f>+'Step 1 - Feed Cost Input Sheet '!A36</f>
        <v>Added Feedstuff #4</v>
      </c>
      <c r="F46" s="79">
        <v>0</v>
      </c>
      <c r="G46" s="4">
        <f t="shared" si="0"/>
        <v>0</v>
      </c>
      <c r="H46" s="35">
        <f>+'Step 1 - Feed Cost Input Sheet '!B36</f>
        <v>0</v>
      </c>
      <c r="I46" s="4" t="s">
        <v>73</v>
      </c>
      <c r="K46" s="29"/>
      <c r="L46" s="29"/>
      <c r="M46" s="29"/>
      <c r="N46" s="29"/>
    </row>
    <row r="47" spans="1:14">
      <c r="A47" s="8"/>
      <c r="B47" s="37" t="str">
        <f>+'Step 1 - Feed Cost Input Sheet '!A37</f>
        <v>Pasture</v>
      </c>
      <c r="C47" s="8"/>
      <c r="D47" s="38"/>
      <c r="E47" s="8"/>
      <c r="F47" s="8">
        <f>+D26</f>
        <v>5</v>
      </c>
      <c r="G47" s="41"/>
      <c r="H47" s="39">
        <f>+'Step 1 - Feed Cost Input Sheet '!B37</f>
        <v>60</v>
      </c>
      <c r="I47" s="8" t="s">
        <v>101</v>
      </c>
    </row>
    <row r="48" spans="1:14">
      <c r="B48" s="27"/>
      <c r="D48" s="23"/>
      <c r="H48" s="77"/>
    </row>
    <row r="49" spans="1:9" ht="20" customHeight="1">
      <c r="A49" s="189" t="s">
        <v>323</v>
      </c>
      <c r="B49" s="171"/>
      <c r="C49" s="171"/>
      <c r="D49" s="171"/>
      <c r="E49" s="171"/>
      <c r="F49" s="171"/>
      <c r="H49" s="77"/>
    </row>
    <row r="50" spans="1:9" ht="19" customHeight="1">
      <c r="A50" s="189" t="s">
        <v>335</v>
      </c>
      <c r="B50" s="171"/>
      <c r="C50" s="171"/>
      <c r="D50" s="171"/>
      <c r="E50" s="171"/>
      <c r="F50" s="171"/>
      <c r="H50" s="77"/>
    </row>
    <row r="51" spans="1:9" ht="16" customHeight="1">
      <c r="A51" s="170"/>
      <c r="B51" s="170"/>
      <c r="C51" s="170"/>
      <c r="D51" s="170"/>
      <c r="E51" s="170"/>
      <c r="F51" s="170"/>
      <c r="H51" s="77"/>
    </row>
    <row r="52" spans="1:9" ht="16" customHeight="1">
      <c r="A52" s="170"/>
      <c r="B52" s="170"/>
      <c r="C52" s="170"/>
      <c r="D52" s="170"/>
      <c r="E52" s="170"/>
      <c r="F52" s="170"/>
      <c r="H52" s="77"/>
    </row>
    <row r="53" spans="1:9" ht="16" customHeight="1">
      <c r="A53" s="170"/>
      <c r="B53" s="170"/>
      <c r="C53" s="170"/>
      <c r="D53" s="170"/>
      <c r="E53" s="170"/>
      <c r="F53" s="170"/>
      <c r="H53" s="77"/>
    </row>
    <row r="54" spans="1:9">
      <c r="A54" s="175">
        <f>+'Step 1 - Feed Cost Input Sheet '!F23</f>
        <v>46029</v>
      </c>
      <c r="B54" s="175"/>
      <c r="D54" s="23"/>
      <c r="H54" s="77"/>
    </row>
    <row r="55" spans="1:9">
      <c r="A55" s="23" t="s">
        <v>10</v>
      </c>
    </row>
    <row r="56" spans="1:9">
      <c r="A56" s="26" t="s">
        <v>143</v>
      </c>
    </row>
    <row r="57" spans="1:9">
      <c r="C57" s="23" t="str">
        <f t="shared" ref="C57:C65" si="1">+B34</f>
        <v>20% Liquid</v>
      </c>
      <c r="E57" s="7">
        <f t="shared" ref="E57:E65" si="2">+G34</f>
        <v>0</v>
      </c>
      <c r="F57" s="7" t="s">
        <v>15</v>
      </c>
      <c r="G57" s="42">
        <f t="shared" ref="G57:G65" si="3">+H34</f>
        <v>15</v>
      </c>
      <c r="H57" s="42">
        <f t="shared" ref="H57:H70" si="4">+E57*G57</f>
        <v>0</v>
      </c>
    </row>
    <row r="58" spans="1:9">
      <c r="C58" s="23" t="str">
        <f t="shared" si="1"/>
        <v>Mineral &amp; Salt</v>
      </c>
      <c r="E58" s="7">
        <f t="shared" si="2"/>
        <v>0.252</v>
      </c>
      <c r="F58" s="7" t="s">
        <v>15</v>
      </c>
      <c r="G58" s="42">
        <f t="shared" si="3"/>
        <v>22</v>
      </c>
      <c r="H58" s="42">
        <f t="shared" si="4"/>
        <v>5.5440000000000005</v>
      </c>
      <c r="I58" s="43"/>
    </row>
    <row r="59" spans="1:9">
      <c r="C59" s="4" t="str">
        <f t="shared" si="1"/>
        <v>Dry Corn</v>
      </c>
      <c r="E59" s="7">
        <f t="shared" si="2"/>
        <v>0</v>
      </c>
      <c r="F59" s="7" t="s">
        <v>49</v>
      </c>
      <c r="G59" s="42">
        <f t="shared" si="3"/>
        <v>3.25</v>
      </c>
      <c r="H59" s="42">
        <f t="shared" si="4"/>
        <v>0</v>
      </c>
      <c r="I59" s="43"/>
    </row>
    <row r="60" spans="1:9">
      <c r="C60" s="4" t="str">
        <f t="shared" si="1"/>
        <v>High Moisture Corn</v>
      </c>
      <c r="E60" s="7">
        <f t="shared" si="2"/>
        <v>0</v>
      </c>
      <c r="F60" s="7" t="s">
        <v>49</v>
      </c>
      <c r="G60" s="42">
        <f t="shared" si="3"/>
        <v>2.25</v>
      </c>
      <c r="H60" s="42">
        <f t="shared" si="4"/>
        <v>0</v>
      </c>
    </row>
    <row r="61" spans="1:9">
      <c r="C61" s="4" t="str">
        <f t="shared" si="1"/>
        <v>Hay</v>
      </c>
      <c r="E61" s="7">
        <f t="shared" si="2"/>
        <v>0.63</v>
      </c>
      <c r="F61" s="7" t="s">
        <v>50</v>
      </c>
      <c r="G61" s="42">
        <f t="shared" si="3"/>
        <v>120</v>
      </c>
      <c r="H61" s="42">
        <f t="shared" si="4"/>
        <v>75.599999999999994</v>
      </c>
    </row>
    <row r="62" spans="1:9">
      <c r="C62" s="4" t="str">
        <f t="shared" si="1"/>
        <v>Alfalfa</v>
      </c>
      <c r="E62" s="7">
        <f t="shared" si="2"/>
        <v>0.21</v>
      </c>
      <c r="F62" s="7" t="s">
        <v>50</v>
      </c>
      <c r="G62" s="42">
        <f t="shared" si="3"/>
        <v>150</v>
      </c>
      <c r="H62" s="42">
        <f t="shared" si="4"/>
        <v>31.5</v>
      </c>
    </row>
    <row r="63" spans="1:9">
      <c r="C63" s="4" t="str">
        <f t="shared" si="1"/>
        <v>Silage</v>
      </c>
      <c r="E63" s="7">
        <f t="shared" si="2"/>
        <v>2.52</v>
      </c>
      <c r="F63" s="7" t="s">
        <v>50</v>
      </c>
      <c r="G63" s="42">
        <f t="shared" si="3"/>
        <v>32</v>
      </c>
      <c r="H63" s="42">
        <f t="shared" si="4"/>
        <v>80.64</v>
      </c>
    </row>
    <row r="64" spans="1:9">
      <c r="C64" s="23" t="str">
        <f t="shared" si="1"/>
        <v>Corn Stover</v>
      </c>
      <c r="E64" s="7">
        <f t="shared" si="2"/>
        <v>1.26</v>
      </c>
      <c r="F64" s="7" t="s">
        <v>50</v>
      </c>
      <c r="G64" s="42">
        <f t="shared" si="3"/>
        <v>50</v>
      </c>
      <c r="H64" s="42">
        <f t="shared" si="4"/>
        <v>63</v>
      </c>
    </row>
    <row r="65" spans="1:12">
      <c r="C65" s="23" t="str">
        <f t="shared" si="1"/>
        <v>Dried Distillers</v>
      </c>
      <c r="E65" s="7">
        <f t="shared" si="2"/>
        <v>0</v>
      </c>
      <c r="F65" s="7" t="s">
        <v>50</v>
      </c>
      <c r="G65" s="42">
        <f t="shared" si="3"/>
        <v>145</v>
      </c>
      <c r="H65" s="42">
        <f t="shared" si="4"/>
        <v>0</v>
      </c>
      <c r="I65" s="43"/>
    </row>
    <row r="66" spans="1:12">
      <c r="C66" s="23" t="str">
        <f t="shared" ref="C66:C69" si="5">+B43</f>
        <v>Added Feedstuff #1</v>
      </c>
      <c r="E66" s="7">
        <f t="shared" ref="E66:E69" si="6">+G43</f>
        <v>0</v>
      </c>
      <c r="F66" s="7" t="s">
        <v>50</v>
      </c>
      <c r="G66" s="42">
        <f t="shared" ref="G66:G69" si="7">+H43</f>
        <v>0</v>
      </c>
      <c r="H66" s="42">
        <f t="shared" si="4"/>
        <v>0</v>
      </c>
      <c r="I66" s="43"/>
    </row>
    <row r="67" spans="1:12">
      <c r="C67" s="23" t="str">
        <f t="shared" si="5"/>
        <v>Added Feedstuff #2</v>
      </c>
      <c r="E67" s="7">
        <f t="shared" si="6"/>
        <v>0</v>
      </c>
      <c r="F67" s="7" t="s">
        <v>50</v>
      </c>
      <c r="G67" s="42">
        <f t="shared" si="7"/>
        <v>0</v>
      </c>
      <c r="H67" s="42">
        <f t="shared" si="4"/>
        <v>0</v>
      </c>
      <c r="I67" s="43"/>
    </row>
    <row r="68" spans="1:12">
      <c r="C68" s="23" t="str">
        <f t="shared" si="5"/>
        <v>Added Feedstuff #3</v>
      </c>
      <c r="E68" s="7">
        <f t="shared" si="6"/>
        <v>0</v>
      </c>
      <c r="F68" s="7" t="s">
        <v>50</v>
      </c>
      <c r="G68" s="42">
        <f t="shared" si="7"/>
        <v>0</v>
      </c>
      <c r="H68" s="42">
        <f t="shared" si="4"/>
        <v>0</v>
      </c>
      <c r="I68" s="43"/>
    </row>
    <row r="69" spans="1:12">
      <c r="C69" s="23" t="str">
        <f t="shared" si="5"/>
        <v>Added Feedstuff #4</v>
      </c>
      <c r="E69" s="7">
        <f t="shared" si="6"/>
        <v>0</v>
      </c>
      <c r="F69" s="7" t="s">
        <v>50</v>
      </c>
      <c r="G69" s="42">
        <f t="shared" si="7"/>
        <v>0</v>
      </c>
      <c r="H69" s="42">
        <f t="shared" si="4"/>
        <v>0</v>
      </c>
      <c r="I69" s="43"/>
    </row>
    <row r="70" spans="1:12">
      <c r="C70" s="23" t="str">
        <f t="shared" ref="C70" si="8">+B47</f>
        <v>Pasture</v>
      </c>
      <c r="E70" s="7">
        <f>+F47</f>
        <v>5</v>
      </c>
      <c r="F70" s="7" t="s">
        <v>110</v>
      </c>
      <c r="G70" s="42">
        <f t="shared" ref="G70" si="9">+H47</f>
        <v>60</v>
      </c>
      <c r="H70" s="42">
        <f t="shared" si="4"/>
        <v>300</v>
      </c>
      <c r="I70" s="43"/>
    </row>
    <row r="71" spans="1:12">
      <c r="B71" s="23" t="s">
        <v>99</v>
      </c>
      <c r="I71" s="43">
        <f>+SUM(H57:H70)</f>
        <v>556.28399999999999</v>
      </c>
    </row>
    <row r="72" spans="1:12">
      <c r="B72" s="23" t="s">
        <v>16</v>
      </c>
      <c r="I72" s="43">
        <f>D15</f>
        <v>50</v>
      </c>
    </row>
    <row r="73" spans="1:12">
      <c r="B73" s="23" t="s">
        <v>17</v>
      </c>
      <c r="I73" s="43">
        <f>D16</f>
        <v>1</v>
      </c>
    </row>
    <row r="74" spans="1:12">
      <c r="B74" s="23" t="s">
        <v>18</v>
      </c>
      <c r="I74" s="43">
        <f>D17</f>
        <v>0</v>
      </c>
    </row>
    <row r="75" spans="1:12">
      <c r="B75" s="23" t="s">
        <v>121</v>
      </c>
      <c r="I75" s="44">
        <f>+IF(I24=0,(I25/I27*I26/I28),(I24*I25/I28))</f>
        <v>0.3</v>
      </c>
    </row>
    <row r="76" spans="1:12" ht="17" thickBot="1">
      <c r="B76" s="23" t="s">
        <v>131</v>
      </c>
      <c r="I76" s="83">
        <f>+D18</f>
        <v>0</v>
      </c>
    </row>
    <row r="77" spans="1:12" ht="17" thickBot="1">
      <c r="B77" s="23" t="s">
        <v>14</v>
      </c>
      <c r="D77" s="26" t="s">
        <v>19</v>
      </c>
      <c r="I77" s="84">
        <f>SUM(I71:I76)</f>
        <v>607.58399999999995</v>
      </c>
    </row>
    <row r="79" spans="1:12">
      <c r="A79" s="26" t="s">
        <v>279</v>
      </c>
      <c r="L79" s="27"/>
    </row>
    <row r="80" spans="1:12" ht="15.75" customHeight="1">
      <c r="B80" s="23" t="s">
        <v>138</v>
      </c>
      <c r="E80" s="47">
        <f>+I15</f>
        <v>200</v>
      </c>
      <c r="F80" s="48" t="s">
        <v>139</v>
      </c>
      <c r="G80" s="49">
        <f>+I19</f>
        <v>6</v>
      </c>
      <c r="H80" s="4" t="s">
        <v>140</v>
      </c>
      <c r="I80" s="50">
        <f>+(G80*(I20/3))/E80</f>
        <v>50</v>
      </c>
      <c r="K80" s="23"/>
    </row>
    <row r="81" spans="1:21">
      <c r="B81" s="23" t="s">
        <v>26</v>
      </c>
      <c r="E81" s="31">
        <f>+E80</f>
        <v>200</v>
      </c>
      <c r="F81" s="48" t="s">
        <v>139</v>
      </c>
      <c r="G81" s="49">
        <f>+I17</f>
        <v>6</v>
      </c>
      <c r="H81" s="23" t="s">
        <v>164</v>
      </c>
      <c r="I81" s="44">
        <f>(G81*I16)/E81-(I18/E81)</f>
        <v>77.25</v>
      </c>
      <c r="T81" s="43"/>
      <c r="U81" s="52"/>
    </row>
    <row r="82" spans="1:21">
      <c r="B82" s="23" t="s">
        <v>28</v>
      </c>
      <c r="D82" s="53"/>
      <c r="E82" s="54"/>
      <c r="F82" s="11"/>
      <c r="G82" s="43"/>
      <c r="H82" s="23"/>
      <c r="I82" s="44">
        <f>+I71</f>
        <v>556.28399999999999</v>
      </c>
      <c r="T82" s="43"/>
      <c r="U82" s="52"/>
    </row>
    <row r="83" spans="1:21">
      <c r="B83" s="23" t="s">
        <v>30</v>
      </c>
      <c r="D83" s="53"/>
      <c r="E83" s="54"/>
      <c r="F83" s="11"/>
      <c r="G83" s="43"/>
      <c r="H83" s="23"/>
      <c r="I83" s="55">
        <f>+SUM(I72:I76)</f>
        <v>51.3</v>
      </c>
      <c r="T83" s="43"/>
      <c r="U83" s="52"/>
    </row>
    <row r="84" spans="1:21" ht="17" thickBot="1">
      <c r="B84" s="23" t="s">
        <v>142</v>
      </c>
      <c r="D84" s="23" t="s">
        <v>146</v>
      </c>
      <c r="F84" s="11"/>
      <c r="G84" s="43"/>
      <c r="H84" s="23"/>
      <c r="I84" s="56">
        <f>(D22+D23+SUM(I80:I83))*(D21/100)</f>
        <v>71.085059999999999</v>
      </c>
      <c r="T84" s="43"/>
      <c r="U84" s="52"/>
    </row>
    <row r="85" spans="1:21" ht="17" thickTop="1">
      <c r="B85" s="27" t="s">
        <v>133</v>
      </c>
      <c r="D85" s="23"/>
      <c r="I85" s="35">
        <f>SUM(I80:I84)</f>
        <v>805.91905999999994</v>
      </c>
      <c r="T85" s="43"/>
      <c r="U85" s="52"/>
    </row>
    <row r="86" spans="1:21">
      <c r="B86" s="27"/>
      <c r="D86" s="23"/>
      <c r="I86" s="35"/>
      <c r="T86" s="43"/>
      <c r="U86" s="52"/>
    </row>
    <row r="87" spans="1:21">
      <c r="A87" s="27" t="s">
        <v>290</v>
      </c>
      <c r="B87" s="27"/>
      <c r="D87" s="23"/>
      <c r="I87" s="85"/>
      <c r="T87" s="43"/>
      <c r="U87" s="52"/>
    </row>
    <row r="88" spans="1:21">
      <c r="B88" s="4" t="s">
        <v>291</v>
      </c>
      <c r="I88" s="86">
        <f>((D29*D30)/2)+(((D29*0.8)*(D30+(D30*0.05))/2))</f>
        <v>1840</v>
      </c>
      <c r="T88" s="43"/>
      <c r="U88" s="52"/>
    </row>
    <row r="89" spans="1:21" ht="17" thickBot="1">
      <c r="B89" s="4" t="s">
        <v>166</v>
      </c>
      <c r="I89" s="87">
        <f>(I17*I18)/I15</f>
        <v>76.5</v>
      </c>
      <c r="T89" s="43"/>
      <c r="U89" s="52"/>
    </row>
    <row r="90" spans="1:21" ht="17" thickTop="1">
      <c r="B90" s="27" t="s">
        <v>270</v>
      </c>
      <c r="I90" s="88">
        <f>SUM(I88:I89)</f>
        <v>1916.5</v>
      </c>
      <c r="T90" s="43"/>
      <c r="U90" s="52"/>
    </row>
    <row r="91" spans="1:21">
      <c r="T91" s="43"/>
      <c r="U91" s="52"/>
    </row>
    <row r="92" spans="1:21">
      <c r="A92" s="26" t="s">
        <v>165</v>
      </c>
      <c r="T92" s="58"/>
    </row>
    <row r="93" spans="1:21" ht="16" customHeight="1">
      <c r="B93" s="177"/>
      <c r="C93" s="180" t="s">
        <v>148</v>
      </c>
      <c r="D93" s="180"/>
      <c r="E93" s="180"/>
      <c r="F93" s="180"/>
      <c r="G93" s="180"/>
      <c r="H93" s="180"/>
      <c r="I93" s="180"/>
      <c r="T93" s="43"/>
      <c r="U93" s="52"/>
    </row>
    <row r="94" spans="1:21" ht="30" customHeight="1">
      <c r="A94" s="176"/>
      <c r="B94" s="179" t="s">
        <v>132</v>
      </c>
      <c r="C94" s="59">
        <f>+D94-10</f>
        <v>50</v>
      </c>
      <c r="D94" s="60">
        <f>+H47</f>
        <v>60</v>
      </c>
      <c r="E94" s="60">
        <f>+D94+10</f>
        <v>70</v>
      </c>
      <c r="F94" s="60">
        <f>+D94+15</f>
        <v>75</v>
      </c>
      <c r="G94" s="60">
        <f>+D94+20</f>
        <v>80</v>
      </c>
      <c r="H94" s="60">
        <f>+D94+25</f>
        <v>85</v>
      </c>
      <c r="I94" s="60">
        <f>+D94+30</f>
        <v>90</v>
      </c>
    </row>
    <row r="95" spans="1:21">
      <c r="A95" s="61"/>
      <c r="B95" s="62">
        <f>+H39-10</f>
        <v>140</v>
      </c>
      <c r="C95" s="63">
        <f t="shared" ref="C95:C100" si="10">+SUM($H$57:$H$60)+$H$61+($E$62*B95)+SUM($H$63:$H$65)+($E$70*$C$94)</f>
        <v>504.18399999999997</v>
      </c>
      <c r="D95" s="63">
        <f t="shared" ref="D95:D100" si="11">+SUM($H$57:$H$60)+$H$61+($E$62*B95)+SUM($H$63:$H$65)+$E$70*$D$94</f>
        <v>554.18399999999997</v>
      </c>
      <c r="E95" s="63">
        <f t="shared" ref="E95:E100" si="12">+SUM($H$57:$H$60)+$H$61+($E$62*B95)+SUM($H$63:$H$65)+$E$70*$E$94</f>
        <v>604.18399999999997</v>
      </c>
      <c r="F95" s="63">
        <f t="shared" ref="F95:F100" si="13">+SUM($H$57:$H$60)+$H$61+($E$62*B95)+SUM($H$63:$H$65)+$E$70*$F$94</f>
        <v>629.18399999999997</v>
      </c>
      <c r="G95" s="63">
        <f t="shared" ref="G95:G100" si="14">+SUM($H$57:$H$60)+$H$61+($E$62*B95)+SUM($H$63:$H$65)+$E$70*$G$94</f>
        <v>654.18399999999997</v>
      </c>
      <c r="H95" s="63">
        <f t="shared" ref="H95:H100" si="15">+SUM($H$57:$H$60)+$H$61+($E$62*B95)+SUM($H$63:$H$65)+$E$70*$H$94</f>
        <v>679.18399999999997</v>
      </c>
      <c r="I95" s="63">
        <f t="shared" ref="I95:I100" si="16">+SUM($H$57:$H$60)+$H$61+($E$62*B95)+SUM($H$63:$H$65)+$E$70*$I$94</f>
        <v>704.18399999999997</v>
      </c>
    </row>
    <row r="96" spans="1:21">
      <c r="B96" s="62">
        <f>+H39</f>
        <v>150</v>
      </c>
      <c r="C96" s="63">
        <f t="shared" si="10"/>
        <v>506.28399999999999</v>
      </c>
      <c r="D96" s="63">
        <f t="shared" si="11"/>
        <v>556.28399999999999</v>
      </c>
      <c r="E96" s="63">
        <f t="shared" si="12"/>
        <v>606.28399999999999</v>
      </c>
      <c r="F96" s="63">
        <f t="shared" si="13"/>
        <v>631.28399999999999</v>
      </c>
      <c r="G96" s="63">
        <f t="shared" si="14"/>
        <v>656.28399999999999</v>
      </c>
      <c r="H96" s="63">
        <f t="shared" si="15"/>
        <v>681.28399999999999</v>
      </c>
      <c r="I96" s="63">
        <f>+SUM($H$57:$H$60)+$H$61+($E$62*B96)+SUM($H$63:$H$65)+$E$70*$I$94</f>
        <v>706.28399999999999</v>
      </c>
    </row>
    <row r="97" spans="1:10">
      <c r="B97" s="62">
        <f>+B96+10</f>
        <v>160</v>
      </c>
      <c r="C97" s="63">
        <f t="shared" si="10"/>
        <v>508.38400000000001</v>
      </c>
      <c r="D97" s="63">
        <f t="shared" si="11"/>
        <v>558.38400000000001</v>
      </c>
      <c r="E97" s="63">
        <f t="shared" si="12"/>
        <v>608.38400000000001</v>
      </c>
      <c r="F97" s="63">
        <f t="shared" si="13"/>
        <v>633.38400000000001</v>
      </c>
      <c r="G97" s="63">
        <f t="shared" si="14"/>
        <v>658.38400000000001</v>
      </c>
      <c r="H97" s="63">
        <f t="shared" si="15"/>
        <v>683.38400000000001</v>
      </c>
      <c r="I97" s="63">
        <f t="shared" si="16"/>
        <v>708.38400000000001</v>
      </c>
    </row>
    <row r="98" spans="1:10">
      <c r="B98" s="62">
        <f>+B97+10</f>
        <v>170</v>
      </c>
      <c r="C98" s="63">
        <f t="shared" si="10"/>
        <v>510.48399999999998</v>
      </c>
      <c r="D98" s="63">
        <f t="shared" si="11"/>
        <v>560.48399999999992</v>
      </c>
      <c r="E98" s="63">
        <f t="shared" si="12"/>
        <v>610.48399999999992</v>
      </c>
      <c r="F98" s="63">
        <f t="shared" si="13"/>
        <v>635.48399999999992</v>
      </c>
      <c r="G98" s="63">
        <f t="shared" si="14"/>
        <v>660.48399999999992</v>
      </c>
      <c r="H98" s="63">
        <f t="shared" si="15"/>
        <v>685.48399999999992</v>
      </c>
      <c r="I98" s="63">
        <f t="shared" si="16"/>
        <v>710.48399999999992</v>
      </c>
    </row>
    <row r="99" spans="1:10">
      <c r="B99" s="62">
        <f>+B98+10</f>
        <v>180</v>
      </c>
      <c r="C99" s="63">
        <f t="shared" si="10"/>
        <v>512.58399999999995</v>
      </c>
      <c r="D99" s="63">
        <f t="shared" si="11"/>
        <v>562.58399999999995</v>
      </c>
      <c r="E99" s="63">
        <f t="shared" si="12"/>
        <v>612.58399999999995</v>
      </c>
      <c r="F99" s="63">
        <f t="shared" si="13"/>
        <v>637.58399999999995</v>
      </c>
      <c r="G99" s="63">
        <f t="shared" si="14"/>
        <v>662.58399999999995</v>
      </c>
      <c r="H99" s="63">
        <f t="shared" si="15"/>
        <v>687.58399999999995</v>
      </c>
      <c r="I99" s="63">
        <f t="shared" si="16"/>
        <v>712.58399999999995</v>
      </c>
    </row>
    <row r="100" spans="1:10">
      <c r="B100" s="62">
        <f>+B99+10</f>
        <v>190</v>
      </c>
      <c r="C100" s="63">
        <f t="shared" si="10"/>
        <v>514.68399999999997</v>
      </c>
      <c r="D100" s="63">
        <f t="shared" si="11"/>
        <v>564.68399999999997</v>
      </c>
      <c r="E100" s="63">
        <f t="shared" si="12"/>
        <v>614.68399999999997</v>
      </c>
      <c r="F100" s="63">
        <f t="shared" si="13"/>
        <v>639.68399999999997</v>
      </c>
      <c r="G100" s="63">
        <f t="shared" si="14"/>
        <v>664.68399999999997</v>
      </c>
      <c r="H100" s="63">
        <f t="shared" si="15"/>
        <v>689.68399999999997</v>
      </c>
      <c r="I100" s="63">
        <f t="shared" si="16"/>
        <v>714.68399999999997</v>
      </c>
    </row>
    <row r="102" spans="1:10">
      <c r="A102" s="27" t="s">
        <v>397</v>
      </c>
    </row>
    <row r="103" spans="1:10" s="27" customFormat="1">
      <c r="B103" s="27" t="s">
        <v>163</v>
      </c>
      <c r="D103" s="89">
        <f>I21</f>
        <v>0.85</v>
      </c>
      <c r="E103" s="27" t="s">
        <v>162</v>
      </c>
      <c r="J103"/>
    </row>
    <row r="104" spans="1:10">
      <c r="C104" s="180" t="s">
        <v>161</v>
      </c>
      <c r="D104" s="180"/>
      <c r="E104" s="180"/>
      <c r="F104" s="180"/>
      <c r="G104" s="180"/>
      <c r="H104" s="180"/>
      <c r="I104" s="180"/>
    </row>
    <row r="105" spans="1:10">
      <c r="B105" s="90" t="s">
        <v>160</v>
      </c>
      <c r="C105" s="91">
        <f>D105+5</f>
        <v>415</v>
      </c>
      <c r="D105" s="91">
        <f>E105+5</f>
        <v>410</v>
      </c>
      <c r="E105" s="91">
        <f>F105+5</f>
        <v>405</v>
      </c>
      <c r="F105" s="91">
        <f>D30</f>
        <v>400</v>
      </c>
      <c r="G105" s="91">
        <f>F105-5</f>
        <v>395</v>
      </c>
      <c r="H105" s="91">
        <f>G105-5</f>
        <v>390</v>
      </c>
      <c r="I105" s="91">
        <f>H105-5</f>
        <v>385</v>
      </c>
    </row>
    <row r="106" spans="1:10">
      <c r="B106" s="92">
        <f>B107-50</f>
        <v>350</v>
      </c>
      <c r="C106" s="4">
        <f t="shared" ref="C106:C111" si="17">(($C$105*$B106/100)*$I$21)-$I$85</f>
        <v>428.70594000000006</v>
      </c>
      <c r="D106" s="4">
        <f t="shared" ref="D106:D111" si="18">(($D$105*$B106/100)*$I$21)-$I$85</f>
        <v>413.83094000000006</v>
      </c>
      <c r="E106" s="4">
        <f t="shared" ref="E106:E111" si="19">(($E$105*$B106/100)*$I$21)-$I$85</f>
        <v>398.95594000000006</v>
      </c>
      <c r="F106" s="4">
        <f t="shared" ref="F106:F111" si="20">(($F$105*$B106/100)*$I$21)-$I$85</f>
        <v>384.08094000000006</v>
      </c>
      <c r="G106" s="4">
        <f t="shared" ref="G106:G111" si="21">(($G$105*$B106/100)*$I$21)-$I$85</f>
        <v>369.20594000000006</v>
      </c>
      <c r="H106" s="4">
        <f t="shared" ref="H106:H111" si="22">(($H$105*$B106/100)*$I$21)-$I$85</f>
        <v>354.33094000000006</v>
      </c>
      <c r="I106" s="4">
        <f t="shared" ref="I106:I111" si="23">(($I$105*$B106/100)*$I$21)-$I$85</f>
        <v>339.45594000000006</v>
      </c>
    </row>
    <row r="107" spans="1:10">
      <c r="B107" s="92">
        <f>B108-50</f>
        <v>400</v>
      </c>
      <c r="C107" s="4">
        <f t="shared" si="17"/>
        <v>605.08094000000006</v>
      </c>
      <c r="D107" s="4">
        <f t="shared" si="18"/>
        <v>588.08094000000006</v>
      </c>
      <c r="E107" s="4">
        <f t="shared" si="19"/>
        <v>571.08094000000006</v>
      </c>
      <c r="F107" s="4">
        <f t="shared" si="20"/>
        <v>554.08094000000006</v>
      </c>
      <c r="G107" s="4">
        <f t="shared" si="21"/>
        <v>537.08094000000006</v>
      </c>
      <c r="H107" s="4">
        <f t="shared" si="22"/>
        <v>520.08094000000006</v>
      </c>
      <c r="I107" s="4">
        <f t="shared" si="23"/>
        <v>503.08094000000006</v>
      </c>
    </row>
    <row r="108" spans="1:10">
      <c r="B108" s="92">
        <f>B109-50</f>
        <v>450</v>
      </c>
      <c r="C108" s="4">
        <f t="shared" si="17"/>
        <v>781.45594000000006</v>
      </c>
      <c r="D108" s="4">
        <f t="shared" si="18"/>
        <v>762.33094000000006</v>
      </c>
      <c r="E108" s="4">
        <f t="shared" si="19"/>
        <v>743.20594000000006</v>
      </c>
      <c r="F108" s="4">
        <f t="shared" si="20"/>
        <v>724.08094000000006</v>
      </c>
      <c r="G108" s="4">
        <f t="shared" si="21"/>
        <v>704.95594000000006</v>
      </c>
      <c r="H108" s="4">
        <f t="shared" si="22"/>
        <v>685.83094000000006</v>
      </c>
      <c r="I108" s="4">
        <f t="shared" si="23"/>
        <v>666.70594000000006</v>
      </c>
    </row>
    <row r="109" spans="1:10">
      <c r="B109" s="92">
        <f>D29*100</f>
        <v>500</v>
      </c>
      <c r="C109" s="4">
        <f t="shared" si="17"/>
        <v>957.83094000000006</v>
      </c>
      <c r="D109" s="4">
        <f t="shared" si="18"/>
        <v>936.58094000000006</v>
      </c>
      <c r="E109" s="4">
        <f t="shared" si="19"/>
        <v>915.33094000000006</v>
      </c>
      <c r="F109" s="4">
        <f t="shared" si="20"/>
        <v>894.08094000000006</v>
      </c>
      <c r="G109" s="4">
        <f t="shared" si="21"/>
        <v>872.83094000000006</v>
      </c>
      <c r="H109" s="4">
        <f t="shared" si="22"/>
        <v>851.58094000000006</v>
      </c>
      <c r="I109" s="4">
        <f t="shared" si="23"/>
        <v>830.33094000000006</v>
      </c>
    </row>
    <row r="110" spans="1:10">
      <c r="B110" s="93">
        <f>50+B109</f>
        <v>550</v>
      </c>
      <c r="C110" s="4">
        <f t="shared" si="17"/>
        <v>1134.2059400000001</v>
      </c>
      <c r="D110" s="4">
        <f t="shared" si="18"/>
        <v>1110.8309400000001</v>
      </c>
      <c r="E110" s="4">
        <f t="shared" si="19"/>
        <v>1087.4559400000001</v>
      </c>
      <c r="F110" s="4">
        <f t="shared" si="20"/>
        <v>1064.0809400000001</v>
      </c>
      <c r="G110" s="4">
        <f t="shared" si="21"/>
        <v>1040.7059400000001</v>
      </c>
      <c r="H110" s="4">
        <f t="shared" si="22"/>
        <v>1017.3309400000001</v>
      </c>
      <c r="I110" s="4">
        <f t="shared" si="23"/>
        <v>993.95594000000006</v>
      </c>
    </row>
    <row r="111" spans="1:10">
      <c r="B111" s="93">
        <f>50+B110</f>
        <v>600</v>
      </c>
      <c r="C111" s="4">
        <f t="shared" si="17"/>
        <v>1310.5809400000001</v>
      </c>
      <c r="D111" s="4">
        <f t="shared" si="18"/>
        <v>1285.0809400000001</v>
      </c>
      <c r="E111" s="4">
        <f t="shared" si="19"/>
        <v>1259.5809400000001</v>
      </c>
      <c r="F111" s="4">
        <f t="shared" si="20"/>
        <v>1234.0809400000001</v>
      </c>
      <c r="G111" s="4">
        <f t="shared" si="21"/>
        <v>1208.5809400000001</v>
      </c>
      <c r="H111" s="4">
        <f t="shared" si="22"/>
        <v>1183.0809400000001</v>
      </c>
      <c r="I111" s="4">
        <f t="shared" si="23"/>
        <v>1157.5809400000001</v>
      </c>
    </row>
    <row r="113" spans="2:10" s="27" customFormat="1">
      <c r="B113" s="27" t="s">
        <v>163</v>
      </c>
      <c r="D113" s="89">
        <f>D103+0.05</f>
        <v>0.9</v>
      </c>
      <c r="E113" s="27" t="s">
        <v>162</v>
      </c>
      <c r="J113"/>
    </row>
    <row r="114" spans="2:10">
      <c r="C114" s="180" t="s">
        <v>161</v>
      </c>
      <c r="D114" s="180"/>
      <c r="E114" s="180"/>
      <c r="F114" s="180"/>
      <c r="G114" s="180"/>
      <c r="H114" s="180"/>
      <c r="I114" s="180"/>
    </row>
    <row r="115" spans="2:10">
      <c r="B115" s="90" t="s">
        <v>160</v>
      </c>
      <c r="C115" s="91">
        <f>D115+5</f>
        <v>415</v>
      </c>
      <c r="D115" s="91">
        <f>E115+5</f>
        <v>410</v>
      </c>
      <c r="E115" s="91">
        <f>F115+5</f>
        <v>405</v>
      </c>
      <c r="F115" s="91">
        <f>D30</f>
        <v>400</v>
      </c>
      <c r="G115" s="91">
        <f>F115-5</f>
        <v>395</v>
      </c>
      <c r="H115" s="91">
        <f>G115-5</f>
        <v>390</v>
      </c>
      <c r="I115" s="91">
        <f>H115-5</f>
        <v>385</v>
      </c>
    </row>
    <row r="116" spans="2:10">
      <c r="B116" s="92">
        <f>B117-50</f>
        <v>350</v>
      </c>
      <c r="C116" s="4">
        <f>(($C$115*$B116/100)*($D$113))-$I$85</f>
        <v>501.33094000000006</v>
      </c>
      <c r="D116" s="4">
        <f t="shared" ref="D116:D121" si="24">(($D$115*$B116/100)*($D$113))-$I$85</f>
        <v>485.58094000000006</v>
      </c>
      <c r="E116" s="4">
        <f t="shared" ref="E116:E121" si="25">(($E$115*$B116/100)*($D$113))-$I$85</f>
        <v>469.83094000000006</v>
      </c>
      <c r="F116" s="4">
        <f t="shared" ref="F116:F121" si="26">(($F$115*$B116/100)*($D$113))-$I$85</f>
        <v>454.08094000000006</v>
      </c>
      <c r="G116" s="4">
        <f t="shared" ref="G116:G121" si="27">(($G$115*$B116/100)*($D$113))-$I$85</f>
        <v>438.33094000000006</v>
      </c>
      <c r="H116" s="4">
        <f t="shared" ref="H116:H121" si="28">(($H$115*$B116/100)*($D$113))-$I$85</f>
        <v>422.58094000000006</v>
      </c>
      <c r="I116" s="4">
        <f t="shared" ref="I116:I121" si="29">(($I$115*$B116/100)*($D$113))-$I$85</f>
        <v>406.83094000000006</v>
      </c>
    </row>
    <row r="117" spans="2:10">
      <c r="B117" s="92">
        <f>B118-50</f>
        <v>400</v>
      </c>
      <c r="C117" s="4">
        <f>(($C$115*$B117/100)*(D113))-$I$85</f>
        <v>688.08094000000006</v>
      </c>
      <c r="D117" s="4">
        <f t="shared" si="24"/>
        <v>670.08094000000006</v>
      </c>
      <c r="E117" s="4">
        <f t="shared" si="25"/>
        <v>652.08094000000006</v>
      </c>
      <c r="F117" s="4">
        <f t="shared" si="26"/>
        <v>634.08094000000006</v>
      </c>
      <c r="G117" s="4">
        <f t="shared" si="27"/>
        <v>616.08094000000006</v>
      </c>
      <c r="H117" s="4">
        <f t="shared" si="28"/>
        <v>598.08094000000006</v>
      </c>
      <c r="I117" s="4">
        <f t="shared" si="29"/>
        <v>580.08094000000006</v>
      </c>
    </row>
    <row r="118" spans="2:10">
      <c r="B118" s="92">
        <f>B119-50</f>
        <v>450</v>
      </c>
      <c r="C118" s="4">
        <f>(($C$115*$B118/100)*(D113))-$I$85</f>
        <v>874.83094000000006</v>
      </c>
      <c r="D118" s="4">
        <f t="shared" si="24"/>
        <v>854.58094000000006</v>
      </c>
      <c r="E118" s="4">
        <f t="shared" si="25"/>
        <v>834.33094000000006</v>
      </c>
      <c r="F118" s="4">
        <f t="shared" si="26"/>
        <v>814.08094000000006</v>
      </c>
      <c r="G118" s="4">
        <f t="shared" si="27"/>
        <v>793.83094000000006</v>
      </c>
      <c r="H118" s="4">
        <f t="shared" si="28"/>
        <v>773.58094000000006</v>
      </c>
      <c r="I118" s="4">
        <f t="shared" si="29"/>
        <v>753.33094000000006</v>
      </c>
    </row>
    <row r="119" spans="2:10">
      <c r="B119" s="92">
        <f>D29*100</f>
        <v>500</v>
      </c>
      <c r="C119" s="4">
        <f>(($C$115*$B119/100)*(D113))-$I$85</f>
        <v>1061.5809400000001</v>
      </c>
      <c r="D119" s="4">
        <f t="shared" si="24"/>
        <v>1039.0809400000001</v>
      </c>
      <c r="E119" s="4">
        <f t="shared" si="25"/>
        <v>1016.5809400000001</v>
      </c>
      <c r="F119" s="4">
        <f t="shared" si="26"/>
        <v>994.08094000000006</v>
      </c>
      <c r="G119" s="4">
        <f t="shared" si="27"/>
        <v>971.58094000000006</v>
      </c>
      <c r="H119" s="4">
        <f t="shared" si="28"/>
        <v>949.08094000000006</v>
      </c>
      <c r="I119" s="4">
        <f t="shared" si="29"/>
        <v>926.58094000000006</v>
      </c>
    </row>
    <row r="120" spans="2:10">
      <c r="B120" s="93">
        <f>50+B119</f>
        <v>550</v>
      </c>
      <c r="C120" s="4">
        <f>(($C$115*$B120/100)*(D113))-$I$85</f>
        <v>1248.3309400000001</v>
      </c>
      <c r="D120" s="4">
        <f t="shared" si="24"/>
        <v>1223.5809400000001</v>
      </c>
      <c r="E120" s="4">
        <f t="shared" si="25"/>
        <v>1198.8309400000001</v>
      </c>
      <c r="F120" s="4">
        <f t="shared" si="26"/>
        <v>1174.0809400000001</v>
      </c>
      <c r="G120" s="4">
        <f t="shared" si="27"/>
        <v>1149.3309400000001</v>
      </c>
      <c r="H120" s="4">
        <f t="shared" si="28"/>
        <v>1124.5809400000001</v>
      </c>
      <c r="I120" s="4">
        <f t="shared" si="29"/>
        <v>1099.8309400000001</v>
      </c>
    </row>
    <row r="121" spans="2:10">
      <c r="B121" s="93">
        <f>50+B120</f>
        <v>600</v>
      </c>
      <c r="C121" s="4">
        <f>(($C$115*$B121/100)*(D113))-$I$85</f>
        <v>1435.0809400000001</v>
      </c>
      <c r="D121" s="4">
        <f t="shared" si="24"/>
        <v>1408.0809400000001</v>
      </c>
      <c r="E121" s="4">
        <f t="shared" si="25"/>
        <v>1381.0809400000001</v>
      </c>
      <c r="F121" s="4">
        <f t="shared" si="26"/>
        <v>1354.0809400000001</v>
      </c>
      <c r="G121" s="4">
        <f t="shared" si="27"/>
        <v>1327.0809400000001</v>
      </c>
      <c r="H121" s="4">
        <f t="shared" si="28"/>
        <v>1300.0809400000001</v>
      </c>
      <c r="I121" s="4">
        <f t="shared" si="29"/>
        <v>1273.0809400000001</v>
      </c>
    </row>
  </sheetData>
  <sheetProtection algorithmName="SHA-512" hashValue="srqZymiTGg0gOGS/8RArxh7tXZL+PjQjeBRiTHhDZdgIFNrUuWBVb79S3zWukt85AARxsUDRMMlQ6RdtSH8c/Q==" saltValue="Y9W6YoYq4XKdnbdlH9D2/g==" spinCount="100000" sheet="1" objects="1" scenarios="1"/>
  <conditionalFormatting sqref="C95:I100">
    <cfRule type="colorScale" priority="6">
      <colorScale>
        <cfvo type="min"/>
        <cfvo type="num" val="$I$71"/>
        <cfvo type="max"/>
        <color rgb="FF63BE7B"/>
        <color rgb="FFFFEB84"/>
        <color rgb="FFF8696B"/>
      </colorScale>
    </cfRule>
  </conditionalFormatting>
  <conditionalFormatting sqref="C106:I111">
    <cfRule type="colorScale" priority="4">
      <colorScale>
        <cfvo type="min"/>
        <cfvo type="num" val="0"/>
        <cfvo type="max"/>
        <color rgb="FFF8696B"/>
        <color rgb="FFFFEB84"/>
        <color rgb="FF63BE7B"/>
      </colorScale>
    </cfRule>
    <cfRule type="colorScale" priority="5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6:I112">
    <cfRule type="colorScale" priority="3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C116:I121 E122">
    <cfRule type="colorScale" priority="7">
      <colorScale>
        <cfvo type="num" val="10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6:I121">
    <cfRule type="colorScale" priority="1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5">
    <cfRule type="iconSet" priority="12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90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D100"/>
    <pageSetUpPr fitToPage="1"/>
  </sheetPr>
  <dimension ref="A2:L159"/>
  <sheetViews>
    <sheetView zoomScaleNormal="100" workbookViewId="0">
      <selection activeCell="I65" sqref="I65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6" width="11.33203125" style="4" customWidth="1"/>
    <col min="7" max="7" width="12.5" style="4" customWidth="1"/>
    <col min="8" max="8" width="11.33203125" style="4" customWidth="1"/>
    <col min="9" max="9" width="12.33203125" style="4" customWidth="1"/>
    <col min="10" max="11" width="10.6640625" style="4" customWidth="1"/>
    <col min="12" max="12" width="10.83203125" style="4" customWidth="1"/>
    <col min="13" max="16" width="10.6640625" style="4" customWidth="1"/>
    <col min="17" max="16384" width="17.1640625" style="4"/>
  </cols>
  <sheetData>
    <row r="2" spans="1:10" ht="19" customHeight="1">
      <c r="A2" s="189" t="s">
        <v>309</v>
      </c>
      <c r="B2" s="171"/>
      <c r="C2" s="171"/>
      <c r="D2" s="171"/>
      <c r="E2" s="171"/>
      <c r="F2" s="171"/>
    </row>
    <row r="3" spans="1:10" ht="21" customHeight="1">
      <c r="A3" s="189" t="s">
        <v>348</v>
      </c>
      <c r="B3" s="171"/>
      <c r="C3" s="171"/>
      <c r="D3" s="171"/>
      <c r="E3" s="171"/>
      <c r="F3" s="171"/>
    </row>
    <row r="4" spans="1:10" ht="16" customHeight="1">
      <c r="A4" s="170"/>
      <c r="B4" s="170"/>
      <c r="C4" s="170"/>
      <c r="D4" s="170"/>
      <c r="E4" s="170"/>
      <c r="F4" s="170"/>
    </row>
    <row r="5" spans="1:10" ht="16" customHeight="1">
      <c r="A5" s="170"/>
      <c r="B5" s="170"/>
      <c r="C5" s="170"/>
      <c r="D5" s="170"/>
      <c r="E5" s="170"/>
      <c r="F5" s="170"/>
    </row>
    <row r="6" spans="1:10" ht="16" customHeight="1">
      <c r="A6" s="170"/>
      <c r="B6" s="170"/>
      <c r="C6" s="170"/>
      <c r="D6" s="170"/>
      <c r="E6" s="170"/>
      <c r="F6" s="170"/>
    </row>
    <row r="7" spans="1:10">
      <c r="A7" s="175">
        <f>+'Step 1 - Feed Cost Input Sheet '!F23</f>
        <v>46029</v>
      </c>
      <c r="B7" s="175"/>
    </row>
    <row r="9" spans="1:10" ht="17" thickBot="1">
      <c r="A9" s="23" t="s">
        <v>281</v>
      </c>
    </row>
    <row r="10" spans="1:10" s="27" customFormat="1" ht="17" thickBot="1">
      <c r="A10" s="24" t="s">
        <v>282</v>
      </c>
      <c r="B10" s="98"/>
      <c r="C10" s="98"/>
      <c r="D10" s="24" t="s">
        <v>1</v>
      </c>
      <c r="E10" s="98"/>
      <c r="F10" s="24" t="s">
        <v>0</v>
      </c>
      <c r="G10" s="98"/>
      <c r="H10" s="98"/>
      <c r="I10" s="98" t="s">
        <v>1</v>
      </c>
    </row>
    <row r="11" spans="1:10">
      <c r="A11" s="26" t="s">
        <v>3</v>
      </c>
      <c r="E11" s="28" t="s">
        <v>4</v>
      </c>
      <c r="F11" s="26" t="s">
        <v>9</v>
      </c>
    </row>
    <row r="12" spans="1:10">
      <c r="A12" s="23" t="s">
        <v>294</v>
      </c>
      <c r="D12" s="12">
        <v>8</v>
      </c>
      <c r="E12" s="28" t="s">
        <v>4</v>
      </c>
      <c r="F12" s="23" t="s">
        <v>299</v>
      </c>
      <c r="I12" s="12">
        <v>9</v>
      </c>
      <c r="J12" s="23" t="s">
        <v>5</v>
      </c>
    </row>
    <row r="13" spans="1:10">
      <c r="A13" s="23" t="s">
        <v>295</v>
      </c>
      <c r="D13" s="67">
        <v>245</v>
      </c>
      <c r="E13" s="28" t="s">
        <v>4</v>
      </c>
      <c r="F13" s="23" t="s">
        <v>300</v>
      </c>
      <c r="I13" s="67">
        <v>0</v>
      </c>
      <c r="J13" s="23" t="s">
        <v>6</v>
      </c>
    </row>
    <row r="14" spans="1:10">
      <c r="A14" s="23" t="s">
        <v>296</v>
      </c>
      <c r="D14" s="12">
        <v>1</v>
      </c>
      <c r="E14" s="28" t="s">
        <v>4</v>
      </c>
      <c r="F14" s="23" t="s">
        <v>302</v>
      </c>
      <c r="I14" s="67">
        <v>150</v>
      </c>
      <c r="J14" s="23" t="s">
        <v>7</v>
      </c>
    </row>
    <row r="15" spans="1:10">
      <c r="A15" s="26" t="s">
        <v>38</v>
      </c>
      <c r="D15" s="99"/>
      <c r="E15" s="28" t="s">
        <v>4</v>
      </c>
      <c r="F15" s="26" t="s">
        <v>41</v>
      </c>
      <c r="I15" s="99"/>
      <c r="J15" s="23" t="s">
        <v>8</v>
      </c>
    </row>
    <row r="16" spans="1:10">
      <c r="A16" s="23" t="s">
        <v>297</v>
      </c>
      <c r="D16" s="12">
        <v>5</v>
      </c>
      <c r="E16" s="28" t="s">
        <v>4</v>
      </c>
      <c r="F16" s="23" t="s">
        <v>301</v>
      </c>
      <c r="I16" s="124">
        <v>3.3</v>
      </c>
    </row>
    <row r="17" spans="1:10">
      <c r="A17" s="23" t="s">
        <v>298</v>
      </c>
      <c r="D17" s="67">
        <v>285</v>
      </c>
      <c r="E17" s="28" t="s">
        <v>4</v>
      </c>
      <c r="F17" s="4" t="s">
        <v>127</v>
      </c>
      <c r="I17" s="124">
        <v>0</v>
      </c>
    </row>
    <row r="18" spans="1:10" ht="17" thickBot="1">
      <c r="A18" s="26" t="s">
        <v>39</v>
      </c>
      <c r="D18" s="99"/>
      <c r="E18" s="28" t="s">
        <v>4</v>
      </c>
      <c r="F18" s="27" t="s">
        <v>134</v>
      </c>
    </row>
    <row r="19" spans="1:10" ht="18" thickTop="1" thickBot="1">
      <c r="A19" s="23" t="s">
        <v>284</v>
      </c>
      <c r="D19" s="67">
        <v>35</v>
      </c>
      <c r="E19" s="28" t="s">
        <v>4</v>
      </c>
      <c r="F19" s="4" t="s">
        <v>147</v>
      </c>
      <c r="I19" s="72">
        <v>0</v>
      </c>
    </row>
    <row r="20" spans="1:10" ht="17" thickTop="1">
      <c r="A20" s="23" t="s">
        <v>285</v>
      </c>
      <c r="D20" s="67">
        <v>12</v>
      </c>
      <c r="E20" s="28" t="s">
        <v>4</v>
      </c>
      <c r="F20" s="4" t="s">
        <v>135</v>
      </c>
      <c r="I20" s="73">
        <v>1</v>
      </c>
    </row>
    <row r="21" spans="1:10" ht="17" thickBot="1">
      <c r="A21" s="23" t="s">
        <v>286</v>
      </c>
      <c r="D21" s="67">
        <v>20.25</v>
      </c>
      <c r="E21" s="28" t="s">
        <v>4</v>
      </c>
      <c r="F21" s="4" t="s">
        <v>118</v>
      </c>
      <c r="I21" s="67">
        <v>4</v>
      </c>
    </row>
    <row r="22" spans="1:10" ht="18" thickTop="1" thickBot="1">
      <c r="A22" s="4" t="s">
        <v>40</v>
      </c>
      <c r="D22" s="67">
        <v>0</v>
      </c>
      <c r="E22" s="28" t="s">
        <v>4</v>
      </c>
      <c r="F22" s="4" t="s">
        <v>120</v>
      </c>
      <c r="I22" s="74">
        <v>1</v>
      </c>
      <c r="J22" s="100" t="s">
        <v>34</v>
      </c>
    </row>
    <row r="23" spans="1:10" ht="16.5" customHeight="1" thickTop="1">
      <c r="A23" s="4" t="s">
        <v>67</v>
      </c>
      <c r="D23" s="67">
        <v>0</v>
      </c>
      <c r="E23" s="28" t="s">
        <v>4</v>
      </c>
      <c r="F23" s="8" t="s">
        <v>122</v>
      </c>
      <c r="G23" s="8"/>
      <c r="H23" s="8"/>
      <c r="I23" s="75">
        <v>10</v>
      </c>
      <c r="J23" s="4" t="s">
        <v>35</v>
      </c>
    </row>
    <row r="24" spans="1:10" ht="15" customHeight="1">
      <c r="D24" s="101"/>
      <c r="E24" s="28" t="s">
        <v>4</v>
      </c>
      <c r="G24" s="5"/>
    </row>
    <row r="25" spans="1:10" ht="15" hidden="1" customHeight="1">
      <c r="A25" s="23"/>
      <c r="D25" s="32"/>
      <c r="E25" s="28" t="s">
        <v>4</v>
      </c>
      <c r="G25" s="5"/>
    </row>
    <row r="26" spans="1:10" ht="15" hidden="1" customHeight="1">
      <c r="D26" s="33"/>
      <c r="E26" s="28" t="s">
        <v>4</v>
      </c>
      <c r="G26" s="5"/>
    </row>
    <row r="27" spans="1:10" ht="15" hidden="1" customHeight="1">
      <c r="D27" s="101"/>
      <c r="G27" s="5"/>
    </row>
    <row r="28" spans="1:10" ht="15" hidden="1" customHeight="1">
      <c r="D28" s="101"/>
      <c r="G28" s="5"/>
    </row>
    <row r="29" spans="1:10" ht="15" hidden="1" customHeight="1">
      <c r="D29" s="101"/>
      <c r="G29" s="5"/>
    </row>
    <row r="30" spans="1:10" ht="15" hidden="1" customHeight="1">
      <c r="D30" s="101"/>
    </row>
    <row r="31" spans="1:10" ht="15" customHeight="1">
      <c r="D31" s="101"/>
    </row>
    <row r="32" spans="1:10" ht="15" customHeight="1">
      <c r="A32" s="27" t="s">
        <v>69</v>
      </c>
      <c r="D32" s="28"/>
      <c r="E32" s="23"/>
      <c r="H32" s="7"/>
    </row>
    <row r="33" spans="2:9" ht="52" customHeight="1">
      <c r="B33" s="8" t="s">
        <v>70</v>
      </c>
      <c r="C33" s="8"/>
      <c r="D33" s="8"/>
      <c r="E33" s="8"/>
      <c r="F33" s="6" t="s">
        <v>112</v>
      </c>
      <c r="G33" s="159" t="s">
        <v>113</v>
      </c>
      <c r="H33" s="183" t="s">
        <v>349</v>
      </c>
      <c r="I33" s="8" t="s">
        <v>76</v>
      </c>
    </row>
    <row r="34" spans="2:9" ht="15" customHeight="1">
      <c r="B34" s="27" t="str">
        <f>+'Step 1 - Feed Cost Input Sheet '!A24</f>
        <v>20% Liquid</v>
      </c>
      <c r="C34" s="80"/>
      <c r="D34" s="80"/>
      <c r="F34" s="12">
        <v>0.9</v>
      </c>
      <c r="G34" s="80">
        <f>+($I$16*30)/100*F34</f>
        <v>0.89100000000000001</v>
      </c>
      <c r="H34" s="35">
        <f>+'Step 1 - Feed Cost Input Sheet '!B24</f>
        <v>15</v>
      </c>
      <c r="I34" s="80" t="s">
        <v>71</v>
      </c>
    </row>
    <row r="35" spans="2:9" ht="15" customHeight="1">
      <c r="B35" s="27" t="str">
        <f>+'Step 1 - Feed Cost Input Sheet '!A25</f>
        <v>Mineral &amp; Salt</v>
      </c>
      <c r="C35" s="80"/>
      <c r="D35" s="80"/>
      <c r="F35" s="12">
        <v>0.3</v>
      </c>
      <c r="G35" s="80">
        <f>+($I$16*30)/100*F35</f>
        <v>0.29699999999999999</v>
      </c>
      <c r="H35" s="35">
        <f>+'Step 1 - Feed Cost Input Sheet '!B25</f>
        <v>22</v>
      </c>
      <c r="I35" s="80" t="s">
        <v>71</v>
      </c>
    </row>
    <row r="36" spans="2:9">
      <c r="B36" s="27" t="str">
        <f>+'Step 1 - Feed Cost Input Sheet '!A26</f>
        <v>Dry Corn</v>
      </c>
      <c r="C36" s="80"/>
      <c r="D36" s="80"/>
      <c r="F36" s="12">
        <v>5</v>
      </c>
      <c r="G36" s="80">
        <f>+($I$16*30)/56*F36</f>
        <v>8.8392857142857135</v>
      </c>
      <c r="H36" s="35">
        <f>+'Step 1 - Feed Cost Input Sheet '!B26</f>
        <v>3.25</v>
      </c>
      <c r="I36" s="80" t="s">
        <v>72</v>
      </c>
    </row>
    <row r="37" spans="2:9">
      <c r="B37" s="27" t="str">
        <f>+'Step 1 - Feed Cost Input Sheet '!A27</f>
        <v>High Moisture Corn</v>
      </c>
      <c r="C37" s="80"/>
      <c r="D37" s="80"/>
      <c r="F37" s="12">
        <v>0</v>
      </c>
      <c r="G37" s="80">
        <f>+($I$16*30)/56*F37</f>
        <v>0</v>
      </c>
      <c r="H37" s="35">
        <f>+'Step 1 - Feed Cost Input Sheet '!B27</f>
        <v>2.25</v>
      </c>
      <c r="I37" s="80" t="s">
        <v>72</v>
      </c>
    </row>
    <row r="38" spans="2:9">
      <c r="B38" s="27" t="str">
        <f>+'Step 1 - Feed Cost Input Sheet '!A28</f>
        <v>Hay</v>
      </c>
      <c r="C38" s="80"/>
      <c r="D38" s="80"/>
      <c r="F38" s="12">
        <v>3</v>
      </c>
      <c r="G38" s="80">
        <f>+($I$16*30)/2000*F38</f>
        <v>0.14850000000000002</v>
      </c>
      <c r="H38" s="35">
        <f>+'Step 1 - Feed Cost Input Sheet '!B28</f>
        <v>120</v>
      </c>
      <c r="I38" s="80" t="s">
        <v>73</v>
      </c>
    </row>
    <row r="39" spans="2:9">
      <c r="B39" s="27" t="str">
        <f>+'Step 1 - Feed Cost Input Sheet '!A29</f>
        <v>Alfalfa</v>
      </c>
      <c r="C39" s="80"/>
      <c r="D39" s="80"/>
      <c r="F39" s="12">
        <v>2.7</v>
      </c>
      <c r="G39" s="80">
        <f>+($I$16*30)/2000*F39</f>
        <v>0.13365000000000002</v>
      </c>
      <c r="H39" s="35">
        <f>+'Step 1 - Feed Cost Input Sheet '!B29</f>
        <v>150</v>
      </c>
      <c r="I39" s="80" t="s">
        <v>73</v>
      </c>
    </row>
    <row r="40" spans="2:9">
      <c r="B40" s="27" t="str">
        <f>+'Step 1 - Feed Cost Input Sheet '!A30</f>
        <v>Silage</v>
      </c>
      <c r="C40" s="80"/>
      <c r="D40" s="80"/>
      <c r="F40" s="12">
        <v>11</v>
      </c>
      <c r="G40" s="80">
        <f>+($I$16*30)/2000*F40</f>
        <v>0.54449999999999998</v>
      </c>
      <c r="H40" s="35">
        <f>+'Step 1 - Feed Cost Input Sheet '!B30</f>
        <v>32</v>
      </c>
      <c r="I40" s="80" t="s">
        <v>73</v>
      </c>
    </row>
    <row r="41" spans="2:9">
      <c r="B41" s="27" t="str">
        <f>+'Step 1 - Feed Cost Input Sheet '!A31</f>
        <v>Corn Stover</v>
      </c>
      <c r="C41" s="80"/>
      <c r="D41" s="80"/>
      <c r="F41" s="12">
        <v>0</v>
      </c>
      <c r="G41" s="80">
        <f>+($I$16*30)/2000*F41</f>
        <v>0</v>
      </c>
      <c r="H41" s="35">
        <f>+'Step 1 - Feed Cost Input Sheet '!B31</f>
        <v>50</v>
      </c>
      <c r="I41" s="80" t="s">
        <v>73</v>
      </c>
    </row>
    <row r="42" spans="2:9">
      <c r="B42" s="27" t="str">
        <f>+'Step 1 - Feed Cost Input Sheet '!A32</f>
        <v>Dried Distillers</v>
      </c>
      <c r="C42" s="80"/>
      <c r="D42" s="80"/>
      <c r="F42" s="12">
        <v>2.7</v>
      </c>
      <c r="G42" s="80">
        <f>+($I$16*30)/2000*F42</f>
        <v>0.13365000000000002</v>
      </c>
      <c r="H42" s="35">
        <f>+'Step 1 - Feed Cost Input Sheet '!B32</f>
        <v>145</v>
      </c>
      <c r="I42" s="80" t="s">
        <v>73</v>
      </c>
    </row>
    <row r="43" spans="2:9">
      <c r="B43" s="27" t="str">
        <f>+'Step 1 - Feed Cost Input Sheet '!A33</f>
        <v>Added Feedstuff #1</v>
      </c>
      <c r="C43" s="80"/>
      <c r="D43" s="80"/>
      <c r="F43" s="12">
        <v>0</v>
      </c>
      <c r="G43" s="80">
        <f t="shared" ref="G43:G46" si="0">+($I$16*30)/2000*F43</f>
        <v>0</v>
      </c>
      <c r="H43" s="35">
        <f>+'Step 1 - Feed Cost Input Sheet '!B33</f>
        <v>0</v>
      </c>
      <c r="I43" s="80" t="s">
        <v>73</v>
      </c>
    </row>
    <row r="44" spans="2:9">
      <c r="B44" s="27" t="str">
        <f>+'Step 1 - Feed Cost Input Sheet '!A34</f>
        <v>Added Feedstuff #2</v>
      </c>
      <c r="C44" s="80"/>
      <c r="D44" s="80"/>
      <c r="F44" s="12">
        <v>0</v>
      </c>
      <c r="G44" s="80">
        <f t="shared" si="0"/>
        <v>0</v>
      </c>
      <c r="H44" s="35">
        <f>+'Step 1 - Feed Cost Input Sheet '!B34</f>
        <v>0</v>
      </c>
      <c r="I44" s="80" t="s">
        <v>73</v>
      </c>
    </row>
    <row r="45" spans="2:9">
      <c r="B45" s="27" t="str">
        <f>+'Step 1 - Feed Cost Input Sheet '!A35</f>
        <v>Added Feedstuff #3</v>
      </c>
      <c r="C45" s="80"/>
      <c r="D45" s="80"/>
      <c r="F45" s="12">
        <v>0</v>
      </c>
      <c r="G45" s="80">
        <f t="shared" si="0"/>
        <v>0</v>
      </c>
      <c r="H45" s="35">
        <f>+'Step 1 - Feed Cost Input Sheet '!B35</f>
        <v>0</v>
      </c>
      <c r="I45" s="80" t="s">
        <v>73</v>
      </c>
    </row>
    <row r="46" spans="2:9">
      <c r="B46" s="27" t="str">
        <f>+'Step 1 - Feed Cost Input Sheet '!A36</f>
        <v>Added Feedstuff #4</v>
      </c>
      <c r="C46" s="80"/>
      <c r="D46" s="80"/>
      <c r="F46" s="12">
        <v>0</v>
      </c>
      <c r="G46" s="80">
        <f t="shared" si="0"/>
        <v>0</v>
      </c>
      <c r="H46" s="35">
        <f>+'Step 1 - Feed Cost Input Sheet '!B36</f>
        <v>0</v>
      </c>
      <c r="I46" s="80" t="s">
        <v>73</v>
      </c>
    </row>
    <row r="47" spans="2:9">
      <c r="B47" s="27" t="str">
        <f>+'Step 1 - Feed Cost Input Sheet '!A37</f>
        <v>Pasture</v>
      </c>
      <c r="C47" s="80"/>
      <c r="D47" s="80"/>
      <c r="F47" s="102"/>
      <c r="G47" s="80">
        <f>+I17</f>
        <v>0</v>
      </c>
      <c r="H47" s="35">
        <f>+'Step 1 - Feed Cost Input Sheet '!B37</f>
        <v>60</v>
      </c>
      <c r="I47" s="80" t="s">
        <v>101</v>
      </c>
    </row>
    <row r="48" spans="2:9">
      <c r="B48" s="27"/>
      <c r="C48" s="80"/>
      <c r="D48" s="80"/>
      <c r="F48" s="9"/>
      <c r="G48" s="80"/>
      <c r="H48" s="35"/>
      <c r="I48" s="80"/>
    </row>
    <row r="49" spans="1:12" ht="21" customHeight="1">
      <c r="B49" s="171"/>
      <c r="C49" s="171"/>
      <c r="D49" s="171"/>
      <c r="E49" s="171"/>
      <c r="F49" s="171"/>
      <c r="G49" s="80"/>
      <c r="H49" s="35"/>
      <c r="I49" s="80"/>
    </row>
    <row r="50" spans="1:12" ht="22" customHeight="1">
      <c r="B50" s="171"/>
      <c r="C50" s="171"/>
      <c r="D50" s="171"/>
      <c r="E50" s="171"/>
      <c r="F50" s="171"/>
      <c r="G50" s="80"/>
      <c r="H50" s="35"/>
      <c r="I50" s="80"/>
    </row>
    <row r="51" spans="1:12" ht="19" customHeight="1">
      <c r="A51" s="189" t="s">
        <v>323</v>
      </c>
      <c r="B51" s="171"/>
      <c r="C51" s="171"/>
      <c r="D51" s="171"/>
      <c r="E51" s="171"/>
      <c r="F51" s="171"/>
      <c r="G51" s="80"/>
      <c r="H51" s="35"/>
      <c r="I51" s="80"/>
    </row>
    <row r="52" spans="1:12" ht="20" customHeight="1">
      <c r="A52" s="189" t="s">
        <v>348</v>
      </c>
      <c r="B52" s="171"/>
      <c r="C52" s="171"/>
      <c r="D52" s="171"/>
      <c r="E52" s="171"/>
      <c r="F52" s="171"/>
      <c r="G52" s="80"/>
      <c r="H52" s="35"/>
      <c r="I52" s="80"/>
    </row>
    <row r="53" spans="1:12" ht="16" customHeight="1">
      <c r="A53" s="170"/>
      <c r="B53" s="170"/>
      <c r="C53" s="170"/>
      <c r="D53" s="170"/>
      <c r="E53" s="170"/>
      <c r="F53" s="170"/>
      <c r="G53" s="80"/>
      <c r="H53" s="35"/>
      <c r="I53" s="80"/>
    </row>
    <row r="54" spans="1:12">
      <c r="A54" s="175">
        <f>+'Step 1 - Feed Cost Input Sheet '!F23</f>
        <v>46029</v>
      </c>
      <c r="B54" s="175"/>
      <c r="C54" s="80"/>
      <c r="D54" s="80"/>
      <c r="F54" s="9"/>
      <c r="G54" s="80"/>
      <c r="H54" s="35"/>
      <c r="I54" s="80"/>
    </row>
    <row r="55" spans="1:12">
      <c r="A55" s="23" t="s">
        <v>10</v>
      </c>
    </row>
    <row r="56" spans="1:12">
      <c r="A56" s="7" t="s">
        <v>37</v>
      </c>
      <c r="B56" s="96">
        <f>(D12-D16)*100</f>
        <v>300</v>
      </c>
      <c r="C56" s="23" t="s">
        <v>175</v>
      </c>
      <c r="D56" s="97">
        <f>I16+I17</f>
        <v>3.3</v>
      </c>
      <c r="E56" s="23" t="s">
        <v>176</v>
      </c>
      <c r="F56" s="4">
        <f>+B56/(D56*30)</f>
        <v>3.0303030303030303</v>
      </c>
      <c r="G56" s="4" t="s">
        <v>177</v>
      </c>
    </row>
    <row r="57" spans="1:12">
      <c r="A57" s="26" t="s">
        <v>11</v>
      </c>
    </row>
    <row r="58" spans="1:12">
      <c r="B58" s="23" t="s">
        <v>42</v>
      </c>
      <c r="E58" s="4">
        <f>D12</f>
        <v>8</v>
      </c>
      <c r="F58" s="11" t="s">
        <v>43</v>
      </c>
      <c r="G58" s="103">
        <f>D13</f>
        <v>245</v>
      </c>
      <c r="I58" s="103">
        <f>E58*G58</f>
        <v>1960</v>
      </c>
    </row>
    <row r="59" spans="1:12" ht="17" thickBot="1">
      <c r="B59" s="23" t="s">
        <v>44</v>
      </c>
      <c r="D59" s="7" t="s">
        <v>29</v>
      </c>
      <c r="E59" s="4">
        <f>D14</f>
        <v>1</v>
      </c>
      <c r="F59" s="23" t="s">
        <v>45</v>
      </c>
      <c r="G59" s="95">
        <f>I58</f>
        <v>1960</v>
      </c>
      <c r="H59" s="104" t="s">
        <v>27</v>
      </c>
      <c r="I59" s="105">
        <f>-E59*G59/100</f>
        <v>-19.600000000000001</v>
      </c>
    </row>
    <row r="60" spans="1:12" ht="17" thickBot="1">
      <c r="D60" s="23" t="s">
        <v>12</v>
      </c>
      <c r="I60" s="106">
        <f>SUM(I58:I59)</f>
        <v>1940.4</v>
      </c>
    </row>
    <row r="62" spans="1:12">
      <c r="A62" s="26" t="s">
        <v>13</v>
      </c>
    </row>
    <row r="63" spans="1:12">
      <c r="B63" s="23" t="s">
        <v>46</v>
      </c>
      <c r="E63" s="4">
        <f>D16</f>
        <v>5</v>
      </c>
      <c r="F63" s="11" t="s">
        <v>47</v>
      </c>
      <c r="G63" s="43">
        <f>+D17</f>
        <v>285</v>
      </c>
      <c r="I63" s="105">
        <f>E63*G63</f>
        <v>1425</v>
      </c>
    </row>
    <row r="64" spans="1:12">
      <c r="B64" s="23" t="s">
        <v>68</v>
      </c>
      <c r="I64" s="107">
        <f>SUM(H65:H78)</f>
        <v>109.93242857142856</v>
      </c>
      <c r="L64" s="44"/>
    </row>
    <row r="65" spans="2:12">
      <c r="C65" s="23" t="str">
        <f t="shared" ref="C65:C78" si="1">+B34</f>
        <v>20% Liquid</v>
      </c>
      <c r="D65" s="23" t="s">
        <v>14</v>
      </c>
      <c r="E65" s="4">
        <f t="shared" ref="E65:E73" si="2">+G34</f>
        <v>0.89100000000000001</v>
      </c>
      <c r="F65" s="11" t="s">
        <v>15</v>
      </c>
      <c r="G65" s="108">
        <f t="shared" ref="G65:G73" si="3">+H34</f>
        <v>15</v>
      </c>
      <c r="H65" s="108">
        <f>E65*G65*D25</f>
        <v>0</v>
      </c>
      <c r="L65" s="83"/>
    </row>
    <row r="66" spans="2:12">
      <c r="C66" s="23" t="str">
        <f t="shared" si="1"/>
        <v>Mineral &amp; Salt</v>
      </c>
      <c r="E66" s="4">
        <f t="shared" si="2"/>
        <v>0.29699999999999999</v>
      </c>
      <c r="F66" s="11" t="s">
        <v>15</v>
      </c>
      <c r="G66" s="108">
        <f t="shared" si="3"/>
        <v>22</v>
      </c>
      <c r="H66" s="108">
        <f>E66*G66+D25</f>
        <v>6.5339999999999998</v>
      </c>
      <c r="L66" s="44"/>
    </row>
    <row r="67" spans="2:12">
      <c r="C67" s="23" t="str">
        <f t="shared" si="1"/>
        <v>Dry Corn</v>
      </c>
      <c r="E67" s="4">
        <f t="shared" si="2"/>
        <v>8.8392857142857135</v>
      </c>
      <c r="F67" s="11" t="s">
        <v>49</v>
      </c>
      <c r="G67" s="108">
        <f t="shared" si="3"/>
        <v>3.25</v>
      </c>
      <c r="H67" s="108">
        <f>E67*G67+D25</f>
        <v>28.727678571428569</v>
      </c>
    </row>
    <row r="68" spans="2:12">
      <c r="C68" s="23" t="str">
        <f t="shared" si="1"/>
        <v>High Moisture Corn</v>
      </c>
      <c r="E68" s="4">
        <f t="shared" si="2"/>
        <v>0</v>
      </c>
      <c r="F68" s="11" t="s">
        <v>49</v>
      </c>
      <c r="G68" s="108">
        <f t="shared" si="3"/>
        <v>2.25</v>
      </c>
      <c r="H68" s="108">
        <f t="shared" ref="H68:H78" si="4">E68*G68</f>
        <v>0</v>
      </c>
    </row>
    <row r="69" spans="2:12">
      <c r="C69" s="23" t="str">
        <f t="shared" si="1"/>
        <v>Hay</v>
      </c>
      <c r="E69" s="4">
        <f t="shared" si="2"/>
        <v>0.14850000000000002</v>
      </c>
      <c r="F69" s="11" t="s">
        <v>50</v>
      </c>
      <c r="G69" s="108">
        <f t="shared" si="3"/>
        <v>120</v>
      </c>
      <c r="H69" s="108">
        <f t="shared" si="4"/>
        <v>17.820000000000004</v>
      </c>
    </row>
    <row r="70" spans="2:12">
      <c r="C70" s="23" t="str">
        <f t="shared" si="1"/>
        <v>Alfalfa</v>
      </c>
      <c r="E70" s="4">
        <f t="shared" si="2"/>
        <v>0.13365000000000002</v>
      </c>
      <c r="F70" s="11" t="s">
        <v>50</v>
      </c>
      <c r="G70" s="108">
        <f t="shared" si="3"/>
        <v>150</v>
      </c>
      <c r="H70" s="108">
        <f t="shared" si="4"/>
        <v>20.047500000000003</v>
      </c>
    </row>
    <row r="71" spans="2:12">
      <c r="C71" s="23" t="str">
        <f t="shared" si="1"/>
        <v>Silage</v>
      </c>
      <c r="E71" s="4">
        <f t="shared" si="2"/>
        <v>0.54449999999999998</v>
      </c>
      <c r="F71" s="11" t="s">
        <v>50</v>
      </c>
      <c r="G71" s="108">
        <f t="shared" si="3"/>
        <v>32</v>
      </c>
      <c r="H71" s="108">
        <f t="shared" si="4"/>
        <v>17.423999999999999</v>
      </c>
    </row>
    <row r="72" spans="2:12">
      <c r="C72" s="23" t="str">
        <f t="shared" si="1"/>
        <v>Corn Stover</v>
      </c>
      <c r="E72" s="4">
        <f t="shared" si="2"/>
        <v>0</v>
      </c>
      <c r="F72" s="11" t="s">
        <v>50</v>
      </c>
      <c r="G72" s="108">
        <f t="shared" si="3"/>
        <v>50</v>
      </c>
      <c r="H72" s="108">
        <f t="shared" si="4"/>
        <v>0</v>
      </c>
    </row>
    <row r="73" spans="2:12">
      <c r="C73" s="23" t="str">
        <f t="shared" si="1"/>
        <v>Dried Distillers</v>
      </c>
      <c r="E73" s="4">
        <f t="shared" si="2"/>
        <v>0.13365000000000002</v>
      </c>
      <c r="F73" s="11" t="s">
        <v>50</v>
      </c>
      <c r="G73" s="108">
        <f t="shared" si="3"/>
        <v>145</v>
      </c>
      <c r="H73" s="107">
        <f t="shared" si="4"/>
        <v>19.379250000000003</v>
      </c>
    </row>
    <row r="74" spans="2:12">
      <c r="C74" s="23" t="str">
        <f t="shared" si="1"/>
        <v>Added Feedstuff #1</v>
      </c>
      <c r="E74" s="4">
        <f t="shared" ref="E74:E77" si="5">+G43</f>
        <v>0</v>
      </c>
      <c r="F74" s="11" t="s">
        <v>50</v>
      </c>
      <c r="G74" s="108">
        <f t="shared" ref="G74:G77" si="6">+H43</f>
        <v>0</v>
      </c>
      <c r="H74" s="107">
        <f t="shared" ref="H74:H77" si="7">E74*G74</f>
        <v>0</v>
      </c>
    </row>
    <row r="75" spans="2:12">
      <c r="C75" s="23" t="str">
        <f t="shared" si="1"/>
        <v>Added Feedstuff #2</v>
      </c>
      <c r="E75" s="4">
        <f t="shared" si="5"/>
        <v>0</v>
      </c>
      <c r="F75" s="11" t="s">
        <v>50</v>
      </c>
      <c r="G75" s="108">
        <f t="shared" si="6"/>
        <v>0</v>
      </c>
      <c r="H75" s="107">
        <f t="shared" si="7"/>
        <v>0</v>
      </c>
    </row>
    <row r="76" spans="2:12">
      <c r="C76" s="23" t="str">
        <f t="shared" si="1"/>
        <v>Added Feedstuff #3</v>
      </c>
      <c r="E76" s="4">
        <f t="shared" si="5"/>
        <v>0</v>
      </c>
      <c r="F76" s="11" t="s">
        <v>50</v>
      </c>
      <c r="G76" s="108">
        <f t="shared" si="6"/>
        <v>0</v>
      </c>
      <c r="H76" s="107">
        <f t="shared" si="7"/>
        <v>0</v>
      </c>
    </row>
    <row r="77" spans="2:12">
      <c r="C77" s="23" t="str">
        <f t="shared" si="1"/>
        <v>Added Feedstuff #4</v>
      </c>
      <c r="E77" s="4">
        <f t="shared" si="5"/>
        <v>0</v>
      </c>
      <c r="F77" s="11" t="s">
        <v>50</v>
      </c>
      <c r="G77" s="108">
        <f t="shared" si="6"/>
        <v>0</v>
      </c>
      <c r="H77" s="107">
        <f t="shared" si="7"/>
        <v>0</v>
      </c>
    </row>
    <row r="78" spans="2:12">
      <c r="C78" s="23" t="str">
        <f t="shared" si="1"/>
        <v>Pasture</v>
      </c>
      <c r="E78" s="4">
        <f t="shared" ref="E78" si="8">+G47</f>
        <v>0</v>
      </c>
      <c r="F78" s="11" t="s">
        <v>171</v>
      </c>
      <c r="G78" s="108">
        <f t="shared" ref="G78" si="9">+H47</f>
        <v>60</v>
      </c>
      <c r="H78" s="107">
        <f t="shared" si="4"/>
        <v>0</v>
      </c>
    </row>
    <row r="79" spans="2:12">
      <c r="B79" s="23" t="s">
        <v>16</v>
      </c>
      <c r="I79" s="103">
        <f>D19</f>
        <v>35</v>
      </c>
    </row>
    <row r="80" spans="2:12">
      <c r="B80" s="23" t="s">
        <v>17</v>
      </c>
      <c r="I80" s="103">
        <f>D20</f>
        <v>12</v>
      </c>
    </row>
    <row r="81" spans="1:9">
      <c r="B81" s="23" t="s">
        <v>18</v>
      </c>
      <c r="I81" s="103">
        <f>D21</f>
        <v>20.25</v>
      </c>
    </row>
    <row r="82" spans="1:9">
      <c r="B82" s="23" t="s">
        <v>48</v>
      </c>
      <c r="I82" s="103">
        <f>+D22</f>
        <v>0</v>
      </c>
    </row>
    <row r="83" spans="1:9">
      <c r="B83" s="23" t="s">
        <v>36</v>
      </c>
      <c r="I83" s="44">
        <f>IF(I19=0,(I20/I22*I21/I23),(I19*I20/I23))</f>
        <v>0.4</v>
      </c>
    </row>
    <row r="84" spans="1:9" ht="17" thickBot="1">
      <c r="B84" s="23" t="s">
        <v>172</v>
      </c>
      <c r="I84" s="105">
        <f>+D23</f>
        <v>0</v>
      </c>
    </row>
    <row r="85" spans="1:9" ht="17" thickBot="1">
      <c r="B85" s="23" t="s">
        <v>14</v>
      </c>
      <c r="D85" s="23" t="s">
        <v>19</v>
      </c>
      <c r="I85" s="106">
        <f>SUM(I63:I84)</f>
        <v>1602.5824285714286</v>
      </c>
    </row>
    <row r="86" spans="1:9" ht="17" thickBot="1">
      <c r="I86" s="44"/>
    </row>
    <row r="87" spans="1:9" ht="18" thickTop="1" thickBot="1">
      <c r="A87" s="26" t="s">
        <v>20</v>
      </c>
      <c r="I87" s="109">
        <f>I60-I85</f>
        <v>337.81757142857145</v>
      </c>
    </row>
    <row r="88" spans="1:9" ht="17" thickTop="1"/>
    <row r="89" spans="1:9">
      <c r="A89" s="26" t="s">
        <v>21</v>
      </c>
    </row>
    <row r="90" spans="1:9">
      <c r="B90" s="23" t="s">
        <v>22</v>
      </c>
      <c r="G90" s="110">
        <f>I12/100</f>
        <v>0.09</v>
      </c>
    </row>
    <row r="91" spans="1:9">
      <c r="B91" s="23" t="s">
        <v>23</v>
      </c>
      <c r="I91" s="103">
        <f>((I85*I12)*(($I$16+I17)/12))/100</f>
        <v>39.663915107142856</v>
      </c>
    </row>
    <row r="92" spans="1:9">
      <c r="B92" s="23" t="s">
        <v>24</v>
      </c>
      <c r="I92" s="103">
        <f>I13</f>
        <v>0</v>
      </c>
    </row>
    <row r="93" spans="1:9" ht="17" thickBot="1">
      <c r="B93" s="23" t="s">
        <v>268</v>
      </c>
      <c r="I93" s="105">
        <f>(I85+I14)*0.025</f>
        <v>43.814560714285719</v>
      </c>
    </row>
    <row r="94" spans="1:9" ht="17" thickBot="1">
      <c r="D94" s="4" t="s">
        <v>269</v>
      </c>
      <c r="I94" s="111">
        <f>+SUM(I91:I93)</f>
        <v>83.478475821428574</v>
      </c>
    </row>
    <row r="95" spans="1:9" ht="17" thickBot="1">
      <c r="D95" s="23" t="s">
        <v>25</v>
      </c>
      <c r="I95" s="112">
        <f>I87-SUM(I91:I93)</f>
        <v>254.33909560714289</v>
      </c>
    </row>
    <row r="96" spans="1:9" ht="17" thickTop="1">
      <c r="I96" s="44"/>
    </row>
    <row r="97" spans="1:9">
      <c r="B97" s="23" t="s">
        <v>51</v>
      </c>
      <c r="H97" s="103">
        <f>(I85+SUM(I91:I93)+I59)/E58</f>
        <v>208.30761304910718</v>
      </c>
      <c r="I97" s="100" t="s">
        <v>103</v>
      </c>
    </row>
    <row r="98" spans="1:9">
      <c r="D98" s="7"/>
      <c r="E98" s="7" t="s">
        <v>52</v>
      </c>
      <c r="F98" s="43">
        <f>D17</f>
        <v>285</v>
      </c>
      <c r="G98" s="23" t="s">
        <v>53</v>
      </c>
    </row>
    <row r="99" spans="1:9">
      <c r="F99" s="7" t="s">
        <v>54</v>
      </c>
      <c r="G99" s="11">
        <f>(SUM(I64:I84)+I94)/(E58-E63)</f>
        <v>87.020301464285708</v>
      </c>
      <c r="H99" s="23" t="s">
        <v>55</v>
      </c>
      <c r="I99" s="44"/>
    </row>
    <row r="100" spans="1:9">
      <c r="B100" s="23" t="s">
        <v>56</v>
      </c>
      <c r="H100" s="103">
        <f>(I60-(SUM(I64:I84)+SUM(I91:I93)))/E63</f>
        <v>335.86781912142862</v>
      </c>
      <c r="I100" s="100" t="s">
        <v>103</v>
      </c>
    </row>
    <row r="101" spans="1:9">
      <c r="E101" s="7" t="s">
        <v>57</v>
      </c>
      <c r="F101" s="113">
        <f>D13</f>
        <v>245</v>
      </c>
      <c r="G101" s="23" t="s">
        <v>53</v>
      </c>
    </row>
    <row r="102" spans="1:9">
      <c r="A102" s="27"/>
      <c r="E102" s="96"/>
      <c r="F102" s="26"/>
    </row>
    <row r="103" spans="1:9">
      <c r="B103" s="26" t="s">
        <v>58</v>
      </c>
    </row>
    <row r="104" spans="1:9">
      <c r="B104" s="7"/>
    </row>
    <row r="105" spans="1:9">
      <c r="C105" s="162" t="s">
        <v>90</v>
      </c>
      <c r="D105" s="180" t="s">
        <v>32</v>
      </c>
      <c r="E105" s="180"/>
      <c r="F105" s="180"/>
      <c r="G105" s="180"/>
      <c r="H105" s="180"/>
      <c r="I105" s="180"/>
    </row>
    <row r="106" spans="1:9">
      <c r="C106" s="161" t="s">
        <v>91</v>
      </c>
      <c r="D106" s="114">
        <f>G58-8</f>
        <v>237</v>
      </c>
      <c r="E106" s="115">
        <f>G58-4</f>
        <v>241</v>
      </c>
      <c r="F106" s="115">
        <f>G58</f>
        <v>245</v>
      </c>
      <c r="G106" s="115">
        <f>G58+4</f>
        <v>249</v>
      </c>
      <c r="H106" s="115">
        <f>G58+8</f>
        <v>253</v>
      </c>
      <c r="I106" s="115">
        <f>H106+4</f>
        <v>257</v>
      </c>
    </row>
    <row r="107" spans="1:9">
      <c r="C107" s="213">
        <f>G63-10</f>
        <v>275</v>
      </c>
      <c r="D107" s="104">
        <f t="shared" ref="D107:I107" si="10">(($E$58*D106)-($E$59/100*$E$58*D106))-(($E$63*$C$107)+SUM($I$64:$I$84)+SUM($I$91:$I$93))</f>
        <v>240.97909560714265</v>
      </c>
      <c r="E107" s="104">
        <f t="shared" si="10"/>
        <v>272.65909560714272</v>
      </c>
      <c r="F107" s="104">
        <f t="shared" si="10"/>
        <v>304.33909560714278</v>
      </c>
      <c r="G107" s="104">
        <f t="shared" si="10"/>
        <v>336.01909560714262</v>
      </c>
      <c r="H107" s="104">
        <f t="shared" si="10"/>
        <v>367.69909560714268</v>
      </c>
      <c r="I107" s="104">
        <f t="shared" si="10"/>
        <v>399.37909560714274</v>
      </c>
    </row>
    <row r="108" spans="1:9" ht="17" thickBot="1">
      <c r="C108" s="120">
        <f>G63-5</f>
        <v>280</v>
      </c>
      <c r="D108" s="104">
        <f t="shared" ref="D108:I108" si="11">(($E$58*D106)-($E$59/100*$E$58*D106))-(($E$63*$C$108)+SUM($I$64:$I$84)+SUM($I$91:$I$93))</f>
        <v>215.97909560714265</v>
      </c>
      <c r="E108" s="104">
        <f t="shared" si="11"/>
        <v>247.65909560714272</v>
      </c>
      <c r="F108" s="104">
        <f t="shared" si="11"/>
        <v>279.33909560714278</v>
      </c>
      <c r="G108" s="104">
        <f t="shared" si="11"/>
        <v>311.01909560714262</v>
      </c>
      <c r="H108" s="104">
        <f t="shared" si="11"/>
        <v>342.69909560714268</v>
      </c>
      <c r="I108" s="104">
        <f t="shared" si="11"/>
        <v>374.37909560714274</v>
      </c>
    </row>
    <row r="109" spans="1:9" ht="17" thickBot="1">
      <c r="C109" s="120">
        <f>G63</f>
        <v>285</v>
      </c>
      <c r="D109" s="104">
        <f t="shared" ref="D109:I109" si="12">(($E$58*D106)-($E$59/100*$E$58*D106))-(($E$63*$C$109)+SUM($I$64:$I$84)+SUM($I$91:$I$93))</f>
        <v>190.97909560714265</v>
      </c>
      <c r="E109" s="104">
        <f t="shared" si="12"/>
        <v>222.65909560714272</v>
      </c>
      <c r="F109" s="212">
        <f t="shared" si="12"/>
        <v>254.33909560714278</v>
      </c>
      <c r="G109" s="104">
        <f t="shared" si="12"/>
        <v>286.01909560714262</v>
      </c>
      <c r="H109" s="104">
        <f t="shared" si="12"/>
        <v>317.69909560714268</v>
      </c>
      <c r="I109" s="104">
        <f t="shared" si="12"/>
        <v>349.37909560714274</v>
      </c>
    </row>
    <row r="110" spans="1:9">
      <c r="C110" s="120">
        <f>G63+5</f>
        <v>290</v>
      </c>
      <c r="D110" s="104">
        <f t="shared" ref="D110:I110" si="13">(($E$58*D106)-($E$59/100*$E$58*D106))-(($E$63*$C$110)+SUM($I$64:$I$84)+SUM($I$91:$I$93))</f>
        <v>165.97909560714265</v>
      </c>
      <c r="E110" s="104">
        <f t="shared" si="13"/>
        <v>197.65909560714272</v>
      </c>
      <c r="F110" s="104">
        <f t="shared" si="13"/>
        <v>229.33909560714278</v>
      </c>
      <c r="G110" s="104">
        <f t="shared" si="13"/>
        <v>261.01909560714262</v>
      </c>
      <c r="H110" s="104">
        <f t="shared" si="13"/>
        <v>292.69909560714268</v>
      </c>
      <c r="I110" s="104">
        <f t="shared" si="13"/>
        <v>324.37909560714274</v>
      </c>
    </row>
    <row r="111" spans="1:9">
      <c r="C111" s="120">
        <f>G63+10</f>
        <v>295</v>
      </c>
      <c r="D111" s="104">
        <f t="shared" ref="D111:I111" si="14">(($E$58*D106)-($E$59/100*$E$58*D106))-(($E$63*$C$111)+SUM($I$64:$I$84)+SUM($I$91:$I$93))</f>
        <v>140.97909560714265</v>
      </c>
      <c r="E111" s="104">
        <f t="shared" si="14"/>
        <v>172.65909560714272</v>
      </c>
      <c r="F111" s="104">
        <f t="shared" si="14"/>
        <v>204.33909560714278</v>
      </c>
      <c r="G111" s="104">
        <f t="shared" si="14"/>
        <v>236.01909560714262</v>
      </c>
      <c r="H111" s="104">
        <f t="shared" si="14"/>
        <v>267.69909560714268</v>
      </c>
      <c r="I111" s="104">
        <f t="shared" si="14"/>
        <v>299.37909560714274</v>
      </c>
    </row>
    <row r="112" spans="1:9">
      <c r="I112" s="23"/>
    </row>
    <row r="113" spans="1:9">
      <c r="I113" s="23"/>
    </row>
    <row r="114" spans="1:9">
      <c r="B114" s="116" t="s">
        <v>58</v>
      </c>
      <c r="C114" s="43"/>
      <c r="D114" s="43"/>
      <c r="E114" s="43"/>
      <c r="F114" s="43"/>
      <c r="G114" s="43"/>
      <c r="I114" s="23"/>
    </row>
    <row r="115" spans="1:9">
      <c r="B115" s="104" t="s">
        <v>59</v>
      </c>
      <c r="E115" s="117">
        <f>G63</f>
        <v>285</v>
      </c>
      <c r="F115" s="104" t="s">
        <v>350</v>
      </c>
      <c r="H115" s="43"/>
      <c r="I115" s="104"/>
    </row>
    <row r="116" spans="1:9">
      <c r="B116" s="113"/>
      <c r="C116" s="118" t="s">
        <v>89</v>
      </c>
      <c r="D116" s="43"/>
      <c r="E116" s="43"/>
      <c r="F116" s="43"/>
      <c r="G116" s="43"/>
      <c r="H116" s="43"/>
      <c r="I116" s="104"/>
    </row>
    <row r="117" spans="1:9">
      <c r="A117" s="8"/>
      <c r="B117" s="8"/>
      <c r="C117" s="119" t="s">
        <v>92</v>
      </c>
      <c r="D117" s="115">
        <f>G58-8</f>
        <v>237</v>
      </c>
      <c r="E117" s="115">
        <f>G58-4</f>
        <v>241</v>
      </c>
      <c r="F117" s="115">
        <f>G58</f>
        <v>245</v>
      </c>
      <c r="G117" s="115">
        <f>G58+4</f>
        <v>249</v>
      </c>
      <c r="H117" s="115">
        <f>G58+8</f>
        <v>253</v>
      </c>
      <c r="I117" s="115">
        <f>G58+12</f>
        <v>257</v>
      </c>
    </row>
    <row r="118" spans="1:9">
      <c r="C118" s="120">
        <f>G99/100-0.1</f>
        <v>0.77020301464285712</v>
      </c>
      <c r="D118" s="104">
        <f>((E58*(G58-8))-(E59/100*E58*(G58-8)))-(I63+((G99-10)*(E58-E63)))</f>
        <v>220.97909560714288</v>
      </c>
      <c r="E118" s="104">
        <f>((E58*(G58-4))-(E59/100*E58*(G58-4)))-(I63+((G99-10)*(E58-E63)))</f>
        <v>252.65909560714294</v>
      </c>
      <c r="F118" s="104">
        <f>((E58*(G58))-(E59/100*E58*(G58)))-(I63+((G99-10)*(E58-E63)))</f>
        <v>284.33909560714301</v>
      </c>
      <c r="G118" s="104">
        <f>((E58*(G58+4))-(E59/100*E58*(G58+4)))-(I63+((G99-10)*(E58-E63)))</f>
        <v>316.01909560714284</v>
      </c>
      <c r="H118" s="104">
        <f>((E58*(G58+8))-(E59/100*E58*(G58+8)))-(I63+((G99-10)*(E58-E63)))</f>
        <v>347.69909560714291</v>
      </c>
      <c r="I118" s="104">
        <f>((E58*(G58+12))-(E59/100*E58*(G58+12)))-(I63+((G99-10)*(E58-E63)))</f>
        <v>379.37909560714297</v>
      </c>
    </row>
    <row r="119" spans="1:9" ht="17" thickBot="1">
      <c r="C119" s="120">
        <f>G99/100-0.05</f>
        <v>0.82020301464285705</v>
      </c>
      <c r="D119" s="104">
        <f>((E58*(G58-8))-(E59/100*E58*(G58-8)))-(I63+((G99-5)*(E58-E63)))</f>
        <v>205.97909560714288</v>
      </c>
      <c r="E119" s="104">
        <f>((E58*(G58-4))-(E59/100*E58*(G58-4)))-(I63+((G99-5)*(E58-E63)))</f>
        <v>237.65909560714294</v>
      </c>
      <c r="F119" s="104">
        <f>((E58*(G58))-(E59/100*E58*(G58)))-(I63+((G99-5)*(E58-E63)))</f>
        <v>269.33909560714301</v>
      </c>
      <c r="G119" s="104">
        <f>((E58*(G58+4))-(E59/100*E58*(G58+4)))-(I63+((G99-5)*(E58-E63)))</f>
        <v>301.01909560714284</v>
      </c>
      <c r="H119" s="104">
        <f>((E58*(G58+8))-(E59/100*E58*(G58+8)))-(I63+((G99-5)*(E58-E63)))</f>
        <v>332.69909560714291</v>
      </c>
      <c r="I119" s="104">
        <f>((E58*(G58+12))-(E59/100*E58*(G58+12)))-(I63+((G99-5)*(E58-E63)))</f>
        <v>364.37909560714297</v>
      </c>
    </row>
    <row r="120" spans="1:9" ht="17" thickBot="1">
      <c r="C120" s="120">
        <f>G99/100</f>
        <v>0.8702030146428571</v>
      </c>
      <c r="D120" s="104">
        <f>((E58*(G58-8))-(E59/100*E58*(G58-8)))-(I63+(G99*(E58-E63)))</f>
        <v>190.97909560714288</v>
      </c>
      <c r="E120" s="104">
        <f>((E58*(G58-4))-(E59/100*E58*(G58-4)))-(I63+(G99*(E58-E63)))</f>
        <v>222.65909560714294</v>
      </c>
      <c r="F120" s="212">
        <f>((E58*G58)-(E59/100*E58*G58))-(I63+(G99*(E58-E63)))</f>
        <v>254.33909560714301</v>
      </c>
      <c r="G120" s="104">
        <f>((E58*(G58+4))-(E59/100*E58*(G58+4)))-(I63+(G99*(E58-E63)))</f>
        <v>286.01909560714284</v>
      </c>
      <c r="H120" s="104">
        <f>((E58*(G58+8))-(E59/100*E58*(G58+8)))-(I63+(G99*(E58-E63)))</f>
        <v>317.69909560714291</v>
      </c>
      <c r="I120" s="104">
        <f>((E58*(G58+12))-(E59/100*E58*(G58+12)))-(I63+(G99*(E58-E63)))</f>
        <v>349.37909560714297</v>
      </c>
    </row>
    <row r="121" spans="1:9">
      <c r="C121" s="120">
        <f>G99/100+0.05</f>
        <v>0.92020301464285714</v>
      </c>
      <c r="D121" s="104">
        <f>((E58*(G58-8))-(E59/100*E58*(G58-8)))-(I63+((G99+5)*(E58-E63)))</f>
        <v>175.97909560714288</v>
      </c>
      <c r="E121" s="104">
        <f>((E58*(G58-4))-(E59/100*E58*(G58-4)))-(I63+((G99+5)*(E58-E63)))</f>
        <v>207.65909560714294</v>
      </c>
      <c r="F121" s="104">
        <f>((E58*(G58))-(E59/100*E58*(G58)))-(I63+((G99+5)*(E58-E63)))</f>
        <v>239.33909560714301</v>
      </c>
      <c r="G121" s="104">
        <f>((E58*(G58+4))-(E59/100*E58*(G58+4)))-(I63+((G99+5)*(E58-E63)))</f>
        <v>271.01909560714284</v>
      </c>
      <c r="H121" s="104">
        <f>((E58*(G58+8))-(E59/100*E58*(G58+8)))-(I63+((G99+5)*(E58-E63)))</f>
        <v>302.69909560714291</v>
      </c>
      <c r="I121" s="104">
        <f>((E58*(G58+12))-(E59/100*E58*(G58+12)))-(I63+((G99+5)*(E58-E63)))</f>
        <v>334.37909560714297</v>
      </c>
    </row>
    <row r="122" spans="1:9">
      <c r="C122" s="120">
        <f>G99/100+0.1</f>
        <v>0.97020301464285708</v>
      </c>
      <c r="D122" s="104">
        <f>((E58*(G58-8))-(E59/100*E58*(G58-8)))-(I63+((G99+10)*(E58-E63)))</f>
        <v>160.97909560714288</v>
      </c>
      <c r="E122" s="104">
        <f>((E58*(G58-4))-(E59/100*E58*(G58-4)))-(I63+((G99+10)*(E58-E63)))</f>
        <v>192.65909560714294</v>
      </c>
      <c r="F122" s="104">
        <f>((E58*(G58))-(E59/100*E58*(G58)))-(I63+((G99+10)*(E58-E63)))</f>
        <v>224.33909560714301</v>
      </c>
      <c r="G122" s="104">
        <f>((E58*(G58+4))-(E59/100*E58*(G58+4)))-(I63+((G99+10)*(E58-E63)))</f>
        <v>256.01909560714284</v>
      </c>
      <c r="H122" s="104">
        <f>((E58*(G58+8))-(E59/100*E58*(G58+8)))-(I63+((G99+10)*(E58-E63)))</f>
        <v>287.69909560714291</v>
      </c>
      <c r="I122" s="104">
        <f>((E58*(G58+12))-(E59/100*E58*(G58+12)))-(I63+((G99+10)*(E58-E63)))</f>
        <v>319.37909560714297</v>
      </c>
    </row>
    <row r="123" spans="1:9">
      <c r="I123" s="23"/>
    </row>
    <row r="124" spans="1:9">
      <c r="B124" s="116" t="s">
        <v>58</v>
      </c>
      <c r="I124" s="23"/>
    </row>
    <row r="125" spans="1:9">
      <c r="B125" s="104" t="s">
        <v>59</v>
      </c>
      <c r="E125" s="117">
        <f>G63+10</f>
        <v>295</v>
      </c>
      <c r="F125" s="104" t="s">
        <v>60</v>
      </c>
      <c r="H125" s="43"/>
      <c r="I125" s="104"/>
    </row>
    <row r="126" spans="1:9">
      <c r="B126" s="104"/>
      <c r="C126" s="118" t="s">
        <v>88</v>
      </c>
      <c r="E126" s="43"/>
      <c r="F126" s="104"/>
      <c r="H126" s="43"/>
      <c r="I126" s="104"/>
    </row>
    <row r="127" spans="1:9">
      <c r="A127" s="8"/>
      <c r="B127" s="8"/>
      <c r="C127" s="121" t="s">
        <v>93</v>
      </c>
      <c r="D127" s="115">
        <f>G58-8</f>
        <v>237</v>
      </c>
      <c r="E127" s="115">
        <f>G58-4</f>
        <v>241</v>
      </c>
      <c r="F127" s="115">
        <f>G58</f>
        <v>245</v>
      </c>
      <c r="G127" s="115">
        <f>G58+4</f>
        <v>249</v>
      </c>
      <c r="H127" s="115">
        <f>G58+8</f>
        <v>253</v>
      </c>
      <c r="I127" s="115">
        <f>G58+12</f>
        <v>257</v>
      </c>
    </row>
    <row r="128" spans="1:9">
      <c r="C128" s="120">
        <f>G99/100-0.1</f>
        <v>0.77020301464285712</v>
      </c>
      <c r="D128" s="104">
        <f>((E58*(G58-8))-(E59/100*E58*(G58-8)))-((E63*(G63+10))+((G99-10)*(E58-E63)))</f>
        <v>170.97909560714288</v>
      </c>
      <c r="E128" s="104">
        <f>((E58*(G58-4))-(E59/100*E58*(G58-4)))-((E63*(G63+10))+((G99-10)*(E58-E63)))</f>
        <v>202.65909560714294</v>
      </c>
      <c r="F128" s="104">
        <f>((E58*(G58))-(E59/100*E58*(G58)))-((E63*(G63+10))+((G99-10)*(E58-E63)))</f>
        <v>234.33909560714301</v>
      </c>
      <c r="G128" s="104">
        <f>((E58*(G58+4))-(E59/100*E58*(G58+4)))-((E63*(G63+10))+((G99-10)*(E58-E63)))</f>
        <v>266.01909560714284</v>
      </c>
      <c r="H128" s="104">
        <f>((E58*(G58+8))-(E59/100*E58*(G58+8)))-((E63*(G63+10))+((G99-10)*(E58-E63)))</f>
        <v>297.69909560714291</v>
      </c>
      <c r="I128" s="104">
        <f>((E58*I127)-(E59/100*E58*I127))-((E63*E125)+(C128*100*(E58-E63)))</f>
        <v>329.37909560714297</v>
      </c>
    </row>
    <row r="129" spans="1:10" ht="17" thickBot="1">
      <c r="C129" s="120">
        <f>G99/100-0.05</f>
        <v>0.82020301464285705</v>
      </c>
      <c r="D129" s="104">
        <f>((E58*(G58-8))-(E59/100*E58*(G58-8)))-((E63*(G63+10))+((G99-5)*(E58-E63)))</f>
        <v>155.97909560714288</v>
      </c>
      <c r="E129" s="104">
        <f>((E58*(G58-4))-(E59/100*E58*(G58-4)))-((E63*(G63+10))+((G99-5)*(E58-E63)))</f>
        <v>187.65909560714294</v>
      </c>
      <c r="F129" s="104">
        <f>((E58*(G58))-(E59/100*E58*(G58)))-((E63*(G63+10))+((G99-5)*(E58-E63)))</f>
        <v>219.33909560714301</v>
      </c>
      <c r="G129" s="104">
        <f>((E58*(G58+4))-(E59/100*E58*(G58+4)))-((E63*(G63+10))+((G99-5)*(E58-E63)))</f>
        <v>251.01909560714284</v>
      </c>
      <c r="H129" s="104">
        <f>((E58*(G58+8))-(E59/100*E58*(G58+8)))-((E63*(G63+10))+((G99-5)*(E58-E63)))</f>
        <v>282.69909560714291</v>
      </c>
      <c r="I129" s="104">
        <f>((E58*(G58+12))-(E59/100*E58*(G58+12)))-((E63*(G63+10))+((G99-5)*(E58-E63)))</f>
        <v>314.37909560714297</v>
      </c>
    </row>
    <row r="130" spans="1:10" ht="17" thickBot="1">
      <c r="C130" s="120">
        <f>G99/100</f>
        <v>0.8702030146428571</v>
      </c>
      <c r="D130" s="104">
        <f>((E58*(G58-8))-(E59/100*E58*(G58-8)))-((E63*(G63+10))+(G99*(E58-E63)))</f>
        <v>140.97909560714288</v>
      </c>
      <c r="E130" s="104">
        <f>((E58*(G58-4))-(E59/100*E58*(G58-4)))-((E63*(G63+10))+(G99*(E58-E63)))</f>
        <v>172.65909560714294</v>
      </c>
      <c r="F130" s="212">
        <f>((E58*G58)-(E59/100*E58*G58))-((E63*(G63+10))+(G99*(E58-E63)))</f>
        <v>204.33909560714301</v>
      </c>
      <c r="G130" s="104">
        <f>((E58*(G58+4))-(E59/100*E58*(G58+4)))-((E63*(G63+10))+(G99*(E58-E63)))</f>
        <v>236.01909560714284</v>
      </c>
      <c r="H130" s="104">
        <f>((E58*(G58+8))-(E59/100*E58*(G58+8)))-((E63*(G63+10))+(G99*(E58-E63)))</f>
        <v>267.69909560714291</v>
      </c>
      <c r="I130" s="104">
        <f>((E58*(G58+12))-(E59/100*E58*(G58+12)))-((E63*(G63+10))+(G99*(E58-E63)))</f>
        <v>299.37909560714297</v>
      </c>
    </row>
    <row r="131" spans="1:10">
      <c r="C131" s="120">
        <f>G99/100+0.05</f>
        <v>0.92020301464285714</v>
      </c>
      <c r="D131" s="104">
        <f>((E58*(G58-8))-(E59/100*E58*(G58-8)))-((E63*(G63+10))+((G99+5)*(E58-E63)))</f>
        <v>125.97909560714288</v>
      </c>
      <c r="E131" s="104">
        <f>((E58*(G58-4))-(E59/100*E58*(G58-4)))-((E63*(G63+10))+((G99+5)*(E58-E63)))</f>
        <v>157.65909560714294</v>
      </c>
      <c r="F131" s="104">
        <f>((E58*(G58))-(E59/100*E58*(G58)))-((E63*(G63+10))+((G99+5)*(E58-E63)))</f>
        <v>189.33909560714301</v>
      </c>
      <c r="G131" s="104">
        <f>((E58*(G58+4))-(E59/100*E58*(G58+4)))-((E63*(G63+10))+((G99+5)*(E58-E63)))</f>
        <v>221.01909560714284</v>
      </c>
      <c r="H131" s="104">
        <f>((E58*(G58+8))-(E59/100*E58*(G58+8)))-((E63*(G63+10))+((G99+5)*(E58-E63)))</f>
        <v>252.69909560714291</v>
      </c>
      <c r="I131" s="104">
        <f>((E58*(G58+12))-(E59/100*E58*(G58+12)))-((E63*(G63+10))+((G99+5)*(E58-E63)))</f>
        <v>284.37909560714297</v>
      </c>
    </row>
    <row r="132" spans="1:10">
      <c r="C132" s="120">
        <f>G99/100+0.1</f>
        <v>0.97020301464285708</v>
      </c>
      <c r="D132" s="104">
        <f>((E58*(G58-8))-(E59/100*E58*(G58-8)))-((E63*(G63+10))+((G99+10)*(E58-E63)))</f>
        <v>110.97909560714288</v>
      </c>
      <c r="E132" s="104">
        <f>((E58*(G58-4))-(E59/100*E81*(G58-4)))-((E63*(G63+10))+((G99+10)*(E58-E63)))</f>
        <v>161.93909560714292</v>
      </c>
      <c r="F132" s="104">
        <f>((E58*(G58))-(E59/100*E58*(G58)))-((E63*(G63+10))+((G99+10)*(E58-E63)))</f>
        <v>174.33909560714301</v>
      </c>
      <c r="G132" s="104">
        <f>((E58*(G58+4))-(E59/100*E58*(G58+4)))-((E63*(G63+10))+((G99+10)*(E58-E63)))</f>
        <v>206.01909560714284</v>
      </c>
      <c r="H132" s="104">
        <f>((E58*(G58+8))-(E59/100*E58*(G58+8)))-((E63*(G63+10))+((G99+10)*(E58-E63)))</f>
        <v>237.69909560714291</v>
      </c>
      <c r="I132" s="104">
        <f>((E58*(G58+12))-(E59/100*E58*(G58+12)))-((E63*(G63+10))+((G99+10)*(E58-E63)))</f>
        <v>269.37909560714297</v>
      </c>
    </row>
    <row r="134" spans="1:10">
      <c r="A134" s="5"/>
      <c r="B134" s="5"/>
      <c r="C134" s="5"/>
      <c r="D134" s="5"/>
      <c r="E134" s="5"/>
      <c r="F134" s="5"/>
      <c r="G134" s="5"/>
      <c r="H134" s="5"/>
      <c r="I134" s="5"/>
    </row>
    <row r="135" spans="1:10" ht="15" customHeight="1">
      <c r="A135" s="5"/>
      <c r="B135" s="5"/>
      <c r="C135" s="5"/>
      <c r="D135" s="5"/>
      <c r="E135" s="5"/>
      <c r="F135" s="5"/>
      <c r="G135" s="5"/>
      <c r="H135" s="5"/>
      <c r="I135" s="5"/>
      <c r="J135" s="23"/>
    </row>
    <row r="136" spans="1:10">
      <c r="A136" s="23"/>
      <c r="I136" s="6"/>
      <c r="J136" s="23"/>
    </row>
    <row r="137" spans="1:10">
      <c r="A137" s="125"/>
      <c r="B137" s="125"/>
      <c r="C137" s="125"/>
      <c r="D137" s="125"/>
      <c r="E137" s="125"/>
      <c r="F137" s="125"/>
      <c r="G137" s="125"/>
      <c r="H137" s="125"/>
      <c r="I137" s="125"/>
      <c r="J137" s="23"/>
    </row>
    <row r="138" spans="1:10">
      <c r="A138" s="125"/>
      <c r="B138" s="125"/>
      <c r="C138" s="125"/>
      <c r="D138" s="125"/>
      <c r="E138" s="125"/>
      <c r="F138" s="125"/>
      <c r="G138" s="125"/>
      <c r="H138" s="125"/>
      <c r="I138" s="125"/>
      <c r="J138" s="23"/>
    </row>
    <row r="139" spans="1:10">
      <c r="G139" s="43"/>
      <c r="I139" s="122"/>
    </row>
    <row r="140" spans="1:10">
      <c r="A140" s="5"/>
      <c r="B140" s="5"/>
      <c r="C140" s="5"/>
      <c r="D140" s="5"/>
      <c r="E140" s="5"/>
      <c r="F140" s="5"/>
      <c r="G140" s="5"/>
      <c r="H140" s="5"/>
      <c r="I140" s="5"/>
    </row>
    <row r="141" spans="1:10" ht="15" customHeight="1">
      <c r="A141" s="6"/>
      <c r="B141" s="6"/>
      <c r="C141" s="6"/>
      <c r="D141" s="6"/>
      <c r="E141" s="6"/>
      <c r="F141" s="6"/>
      <c r="G141" s="6"/>
      <c r="H141" s="6"/>
      <c r="I141" s="6"/>
    </row>
    <row r="142" spans="1:10">
      <c r="A142" s="23"/>
      <c r="G142" s="43"/>
      <c r="I142" s="6"/>
    </row>
    <row r="144" spans="1:10">
      <c r="A144" s="123"/>
    </row>
    <row r="146" spans="1:1">
      <c r="A146" s="23"/>
    </row>
    <row r="147" spans="1:1">
      <c r="A147" s="123"/>
    </row>
    <row r="148" spans="1:1">
      <c r="A148" s="23"/>
    </row>
    <row r="159" spans="1:1">
      <c r="A159" s="23"/>
    </row>
  </sheetData>
  <sheetProtection algorithmName="SHA-512" hashValue="aTvQpWHN8JaOrjQz8G4ib9Ulnp/+18MrbqShVikIPoa+QI0HXN0EZjKdTKRjP2U1ZAwGidTL5B+vc+Md3SlN5g==" saltValue="f9wpJUbXy5acr/n3QJBPJA==" spinCount="100000" sheet="1" objects="1" scenarios="1"/>
  <phoneticPr fontId="2" type="noConversion"/>
  <conditionalFormatting sqref="D107:I111">
    <cfRule type="colorScale" priority="27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28">
      <colorScale>
        <cfvo type="num" val="0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num" val="$I$95"/>
        <cfvo type="max"/>
        <color rgb="FFF8696B"/>
        <color rgb="FFFFEB84"/>
        <color rgb="FF63BE7B"/>
      </colorScale>
    </cfRule>
  </conditionalFormatting>
  <conditionalFormatting sqref="D118:I122">
    <cfRule type="colorScale" priority="30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1">
      <colorScale>
        <cfvo type="min"/>
        <cfvo type="num" val="$I$95"/>
        <cfvo type="max"/>
        <color rgb="FFF8696B"/>
        <color rgb="FFFFEB84"/>
        <color rgb="FF63BE7B"/>
      </colorScale>
    </cfRule>
  </conditionalFormatting>
  <conditionalFormatting sqref="D128:I132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0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3" fitToHeight="0" orientation="portrait" r:id="rId1"/>
  <headerFooter alignWithMargins="0"/>
  <rowBreaks count="1" manualBreakCount="1">
    <brk id="95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3087"/>
    <pageSetUpPr fitToPage="1"/>
  </sheetPr>
  <dimension ref="A2:N160"/>
  <sheetViews>
    <sheetView zoomScaleNormal="100" workbookViewId="0">
      <selection activeCell="I60" sqref="I60"/>
    </sheetView>
  </sheetViews>
  <sheetFormatPr baseColWidth="10" defaultColWidth="10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6640625" customWidth="1"/>
    <col min="11" max="11" width="10.1640625" style="4" customWidth="1"/>
    <col min="12" max="12" width="10.6640625" style="4" customWidth="1"/>
    <col min="13" max="16384" width="10.1640625" style="4"/>
  </cols>
  <sheetData>
    <row r="2" spans="1:14" ht="16" customHeight="1">
      <c r="A2" s="189" t="s">
        <v>309</v>
      </c>
      <c r="B2" s="168"/>
      <c r="C2" s="168"/>
      <c r="D2" s="168"/>
      <c r="E2" s="168"/>
      <c r="F2" s="168"/>
    </row>
    <row r="3" spans="1:14" ht="16" customHeight="1">
      <c r="A3" s="189" t="s">
        <v>351</v>
      </c>
      <c r="B3" s="168"/>
      <c r="C3" s="168"/>
      <c r="D3" s="168"/>
      <c r="E3" s="168"/>
      <c r="F3" s="168"/>
    </row>
    <row r="4" spans="1:14" ht="16" customHeight="1">
      <c r="A4" s="167"/>
      <c r="B4" s="167"/>
      <c r="C4" s="167"/>
      <c r="D4" s="167"/>
      <c r="E4" s="167"/>
      <c r="F4" s="167"/>
    </row>
    <row r="5" spans="1:14" ht="16" customHeight="1">
      <c r="A5" s="167"/>
      <c r="B5" s="167"/>
      <c r="C5" s="167"/>
      <c r="D5" s="167"/>
      <c r="E5" s="167"/>
      <c r="F5" s="167"/>
    </row>
    <row r="6" spans="1:14" ht="16" customHeight="1">
      <c r="A6" s="167"/>
      <c r="B6" s="167"/>
      <c r="C6" s="167"/>
      <c r="D6" s="167"/>
      <c r="E6" s="167"/>
      <c r="F6" s="167"/>
    </row>
    <row r="7" spans="1:14">
      <c r="A7" s="175">
        <f>+'Step 1 - Feed Cost Input Sheet '!F23</f>
        <v>46029</v>
      </c>
      <c r="B7" s="175"/>
    </row>
    <row r="8" spans="1:14">
      <c r="K8" s="126"/>
    </row>
    <row r="9" spans="1:14" ht="17" thickBot="1">
      <c r="A9" s="23" t="s">
        <v>281</v>
      </c>
      <c r="K9" s="126"/>
    </row>
    <row r="10" spans="1:14" ht="17" thickBot="1">
      <c r="A10" s="24" t="s">
        <v>0</v>
      </c>
      <c r="B10" s="25"/>
      <c r="C10" s="25"/>
      <c r="D10" s="24" t="s">
        <v>1</v>
      </c>
      <c r="E10" s="25"/>
      <c r="F10" s="24" t="s">
        <v>0</v>
      </c>
      <c r="G10" s="25"/>
      <c r="H10" s="24" t="s">
        <v>2</v>
      </c>
      <c r="I10" s="25"/>
      <c r="K10" s="126"/>
    </row>
    <row r="11" spans="1:14">
      <c r="A11" s="26" t="s">
        <v>3</v>
      </c>
      <c r="E11" s="28" t="s">
        <v>4</v>
      </c>
      <c r="F11" s="26" t="s">
        <v>9</v>
      </c>
      <c r="K11" s="173" t="s">
        <v>352</v>
      </c>
      <c r="L11" s="173"/>
      <c r="M11" s="173"/>
      <c r="N11" s="173"/>
    </row>
    <row r="12" spans="1:14">
      <c r="A12" s="23" t="s">
        <v>77</v>
      </c>
      <c r="D12" s="12">
        <v>14</v>
      </c>
      <c r="E12" s="28" t="s">
        <v>4</v>
      </c>
      <c r="F12" s="23" t="s">
        <v>95</v>
      </c>
      <c r="I12" s="12">
        <v>9</v>
      </c>
      <c r="K12" s="173" t="s">
        <v>353</v>
      </c>
      <c r="L12" s="173"/>
      <c r="M12" s="173"/>
      <c r="N12" s="173"/>
    </row>
    <row r="13" spans="1:14">
      <c r="A13" s="23" t="s">
        <v>78</v>
      </c>
      <c r="D13" s="67">
        <v>183</v>
      </c>
      <c r="E13" s="28" t="s">
        <v>4</v>
      </c>
      <c r="F13" s="23" t="s">
        <v>96</v>
      </c>
      <c r="I13" s="67">
        <v>8</v>
      </c>
      <c r="K13" s="173" t="s">
        <v>354</v>
      </c>
      <c r="L13" s="173"/>
      <c r="M13" s="173"/>
      <c r="N13" s="173"/>
    </row>
    <row r="14" spans="1:14">
      <c r="A14" s="23" t="s">
        <v>79</v>
      </c>
      <c r="D14" s="12">
        <v>1</v>
      </c>
      <c r="E14" s="28" t="s">
        <v>4</v>
      </c>
      <c r="F14" s="23" t="s">
        <v>97</v>
      </c>
      <c r="I14" s="67">
        <v>125</v>
      </c>
      <c r="K14" s="23"/>
      <c r="M14" s="128"/>
    </row>
    <row r="15" spans="1:14">
      <c r="E15" s="28" t="s">
        <v>4</v>
      </c>
      <c r="I15" s="27"/>
      <c r="K15" s="23"/>
      <c r="M15" s="129"/>
    </row>
    <row r="16" spans="1:14">
      <c r="A16" s="26" t="s">
        <v>38</v>
      </c>
      <c r="E16" s="28" t="s">
        <v>4</v>
      </c>
      <c r="F16" s="26" t="s">
        <v>41</v>
      </c>
      <c r="I16" s="27"/>
    </row>
    <row r="17" spans="1:14">
      <c r="A17" s="23" t="s">
        <v>80</v>
      </c>
      <c r="D17" s="12">
        <v>7</v>
      </c>
      <c r="E17" s="28" t="s">
        <v>4</v>
      </c>
      <c r="F17" s="23" t="s">
        <v>98</v>
      </c>
      <c r="I17" s="124">
        <v>7</v>
      </c>
      <c r="K17" s="130">
        <f>+I17*30</f>
        <v>210</v>
      </c>
      <c r="L17" s="131" t="s">
        <v>116</v>
      </c>
    </row>
    <row r="18" spans="1:14">
      <c r="A18" s="23" t="s">
        <v>81</v>
      </c>
      <c r="D18" s="67">
        <v>250</v>
      </c>
      <c r="E18" s="28" t="s">
        <v>4</v>
      </c>
      <c r="F18" s="132"/>
    </row>
    <row r="19" spans="1:14" ht="17" thickBot="1">
      <c r="D19" s="27"/>
      <c r="E19" s="28" t="s">
        <v>4</v>
      </c>
      <c r="F19" s="27" t="s">
        <v>117</v>
      </c>
      <c r="K19" s="100"/>
    </row>
    <row r="20" spans="1:14" ht="18" thickTop="1" thickBot="1">
      <c r="A20" s="26" t="s">
        <v>39</v>
      </c>
      <c r="D20" s="27"/>
      <c r="E20" s="28" t="s">
        <v>4</v>
      </c>
      <c r="F20" s="4" t="s">
        <v>147</v>
      </c>
      <c r="I20" s="72">
        <v>0</v>
      </c>
      <c r="K20" s="173" t="s">
        <v>355</v>
      </c>
      <c r="L20" s="173"/>
      <c r="M20" s="173"/>
      <c r="N20" s="173"/>
    </row>
    <row r="21" spans="1:14" ht="17" thickTop="1">
      <c r="A21" s="23" t="s">
        <v>82</v>
      </c>
      <c r="D21" s="67">
        <v>10</v>
      </c>
      <c r="E21" s="28" t="s">
        <v>4</v>
      </c>
      <c r="F21" s="4" t="s">
        <v>119</v>
      </c>
      <c r="I21" s="73">
        <v>90</v>
      </c>
      <c r="K21" s="173" t="s">
        <v>356</v>
      </c>
      <c r="L21" s="173"/>
      <c r="M21" s="173"/>
      <c r="N21" s="173"/>
    </row>
    <row r="22" spans="1:14" ht="17" thickBot="1">
      <c r="A22" s="23" t="s">
        <v>83</v>
      </c>
      <c r="D22" s="67">
        <v>30</v>
      </c>
      <c r="E22" s="28" t="s">
        <v>4</v>
      </c>
      <c r="F22" s="4" t="s">
        <v>118</v>
      </c>
      <c r="I22" s="67">
        <v>3</v>
      </c>
      <c r="K22" s="173" t="s">
        <v>357</v>
      </c>
      <c r="L22" s="173"/>
      <c r="M22" s="173"/>
      <c r="N22" s="173"/>
    </row>
    <row r="23" spans="1:14" ht="18" thickTop="1" thickBot="1">
      <c r="A23" s="23" t="s">
        <v>84</v>
      </c>
      <c r="D23" s="67">
        <v>20.25</v>
      </c>
      <c r="E23" s="28" t="s">
        <v>4</v>
      </c>
      <c r="F23" s="4" t="s">
        <v>120</v>
      </c>
      <c r="I23" s="74">
        <v>10</v>
      </c>
      <c r="K23" s="173" t="s">
        <v>358</v>
      </c>
      <c r="L23" s="173"/>
      <c r="M23" s="173"/>
      <c r="N23" s="173"/>
    </row>
    <row r="24" spans="1:14" ht="15" customHeight="1" thickTop="1">
      <c r="D24" s="23"/>
      <c r="F24" s="8" t="s">
        <v>122</v>
      </c>
      <c r="G24" s="8"/>
      <c r="I24" s="75">
        <v>25</v>
      </c>
    </row>
    <row r="25" spans="1:14">
      <c r="A25" s="133"/>
      <c r="B25" s="133"/>
      <c r="C25" s="133"/>
      <c r="D25" s="134"/>
      <c r="E25" s="133"/>
      <c r="H25" s="133"/>
    </row>
    <row r="26" spans="1:14">
      <c r="A26" s="27" t="s">
        <v>69</v>
      </c>
      <c r="D26" s="28"/>
      <c r="E26" s="23"/>
    </row>
    <row r="27" spans="1:14" ht="68">
      <c r="B27" s="8" t="s">
        <v>70</v>
      </c>
      <c r="C27" s="8"/>
      <c r="D27" s="8"/>
      <c r="E27" s="8"/>
      <c r="F27" s="151" t="s">
        <v>112</v>
      </c>
      <c r="G27" s="151" t="s">
        <v>113</v>
      </c>
      <c r="H27" s="151" t="s">
        <v>114</v>
      </c>
      <c r="I27" s="8" t="s">
        <v>115</v>
      </c>
    </row>
    <row r="28" spans="1:14">
      <c r="A28" s="9"/>
      <c r="B28" s="27" t="str">
        <f>+'Step 1 - Feed Cost Input Sheet '!A24</f>
        <v>20% Liquid</v>
      </c>
      <c r="C28" s="80"/>
      <c r="D28" s="80"/>
      <c r="F28" s="12">
        <v>1.33</v>
      </c>
      <c r="G28" s="4">
        <f>+(F28/100)*$K$17</f>
        <v>2.7930000000000001</v>
      </c>
      <c r="H28" s="35">
        <f>+'Step 1 - Feed Cost Input Sheet '!B24</f>
        <v>15</v>
      </c>
      <c r="I28" s="80" t="s">
        <v>71</v>
      </c>
      <c r="K28" s="36"/>
      <c r="L28" s="36"/>
      <c r="M28" s="36"/>
      <c r="N28" s="36"/>
    </row>
    <row r="29" spans="1:14">
      <c r="A29" s="9"/>
      <c r="B29" s="27" t="str">
        <f>+'Step 1 - Feed Cost Input Sheet '!A25</f>
        <v>Mineral &amp; Salt</v>
      </c>
      <c r="C29" s="80"/>
      <c r="D29" s="80"/>
      <c r="F29" s="12">
        <v>0</v>
      </c>
      <c r="G29" s="4">
        <f>+(F29/100)*$K$17</f>
        <v>0</v>
      </c>
      <c r="H29" s="35">
        <f>+'Step 1 - Feed Cost Input Sheet '!B25</f>
        <v>22</v>
      </c>
      <c r="I29" s="80" t="s">
        <v>71</v>
      </c>
      <c r="K29" s="36"/>
      <c r="L29" s="36"/>
      <c r="M29" s="36"/>
      <c r="N29" s="36"/>
    </row>
    <row r="30" spans="1:14">
      <c r="A30" s="9"/>
      <c r="B30" s="27" t="str">
        <f>+'Step 1 - Feed Cost Input Sheet '!A26</f>
        <v>Dry Corn</v>
      </c>
      <c r="C30" s="80"/>
      <c r="D30" s="80"/>
      <c r="F30" s="12">
        <v>6.77</v>
      </c>
      <c r="G30" s="4">
        <f>+(F30/56)*$K$17</f>
        <v>25.387499999999999</v>
      </c>
      <c r="H30" s="35">
        <f>+'Step 1 - Feed Cost Input Sheet '!B26</f>
        <v>3.25</v>
      </c>
      <c r="I30" s="80" t="s">
        <v>72</v>
      </c>
      <c r="K30" s="36"/>
      <c r="L30" s="36"/>
      <c r="M30" s="36"/>
      <c r="N30" s="36"/>
    </row>
    <row r="31" spans="1:14">
      <c r="A31" s="9"/>
      <c r="B31" s="27" t="str">
        <f>+'Step 1 - Feed Cost Input Sheet '!A27</f>
        <v>High Moisture Corn</v>
      </c>
      <c r="C31" s="80"/>
      <c r="D31" s="80"/>
      <c r="F31" s="12">
        <v>3.48</v>
      </c>
      <c r="G31" s="4">
        <f>+(F31/56)*$K$17</f>
        <v>13.05</v>
      </c>
      <c r="H31" s="35">
        <f>+'Step 1 - Feed Cost Input Sheet '!B27</f>
        <v>2.25</v>
      </c>
      <c r="I31" s="80" t="s">
        <v>72</v>
      </c>
      <c r="K31" s="36"/>
      <c r="L31" s="36"/>
      <c r="M31" s="36"/>
      <c r="N31" s="36"/>
    </row>
    <row r="32" spans="1:14">
      <c r="A32" s="9"/>
      <c r="B32" s="27" t="str">
        <f>+'Step 1 - Feed Cost Input Sheet '!A28</f>
        <v>Hay</v>
      </c>
      <c r="C32" s="80"/>
      <c r="D32" s="80"/>
      <c r="F32" s="12">
        <v>0.56999999999999995</v>
      </c>
      <c r="G32" s="4">
        <f>+(F32/2000)*$K$17</f>
        <v>5.985E-2</v>
      </c>
      <c r="H32" s="35">
        <f>+'Step 1 - Feed Cost Input Sheet '!B28</f>
        <v>120</v>
      </c>
      <c r="I32" s="80" t="s">
        <v>73</v>
      </c>
    </row>
    <row r="33" spans="1:9">
      <c r="A33" s="9"/>
      <c r="B33" s="27" t="str">
        <f>+'Step 1 - Feed Cost Input Sheet '!A29</f>
        <v>Alfalfa</v>
      </c>
      <c r="C33" s="80"/>
      <c r="D33" s="80"/>
      <c r="F33" s="12">
        <v>0</v>
      </c>
      <c r="G33" s="4">
        <f>+(F33/2000)*$K$17</f>
        <v>0</v>
      </c>
      <c r="H33" s="35">
        <f>+'Step 1 - Feed Cost Input Sheet '!B29</f>
        <v>150</v>
      </c>
      <c r="I33" s="80" t="s">
        <v>73</v>
      </c>
    </row>
    <row r="34" spans="1:9">
      <c r="A34" s="9"/>
      <c r="B34" s="27" t="str">
        <f>+'Step 1 - Feed Cost Input Sheet '!A30</f>
        <v>Silage</v>
      </c>
      <c r="C34" s="80"/>
      <c r="D34" s="80"/>
      <c r="F34" s="12">
        <v>1.83</v>
      </c>
      <c r="G34" s="4">
        <f>+(F34/2000)*$K$17</f>
        <v>0.19215000000000002</v>
      </c>
      <c r="H34" s="35">
        <f>+'Step 1 - Feed Cost Input Sheet '!B30</f>
        <v>32</v>
      </c>
      <c r="I34" s="80" t="s">
        <v>73</v>
      </c>
    </row>
    <row r="35" spans="1:9">
      <c r="A35" s="9"/>
      <c r="B35" s="27" t="str">
        <f>+'Step 1 - Feed Cost Input Sheet '!A31</f>
        <v>Corn Stover</v>
      </c>
      <c r="C35" s="80"/>
      <c r="D35" s="80"/>
      <c r="F35" s="12">
        <v>2.0499999999999998</v>
      </c>
      <c r="G35" s="4">
        <f>+(F35/2000)*$K$17</f>
        <v>0.21524999999999997</v>
      </c>
      <c r="H35" s="35">
        <f>+'Step 1 - Feed Cost Input Sheet '!B31</f>
        <v>50</v>
      </c>
      <c r="I35" s="80" t="s">
        <v>73</v>
      </c>
    </row>
    <row r="36" spans="1:9">
      <c r="A36" s="9"/>
      <c r="B36" s="27" t="str">
        <f>+'Step 1 - Feed Cost Input Sheet '!A32</f>
        <v>Dried Distillers</v>
      </c>
      <c r="C36" s="80"/>
      <c r="D36" s="80"/>
      <c r="F36" s="12">
        <v>1.73</v>
      </c>
      <c r="G36" s="4">
        <f>+(F36/2000)*$K$17</f>
        <v>0.18165000000000001</v>
      </c>
      <c r="H36" s="35">
        <f>+'Step 1 - Feed Cost Input Sheet '!B32</f>
        <v>145</v>
      </c>
      <c r="I36" s="80" t="s">
        <v>73</v>
      </c>
    </row>
    <row r="37" spans="1:9">
      <c r="A37" s="9"/>
      <c r="B37" s="27" t="str">
        <f>+'Step 1 - Feed Cost Input Sheet '!A33</f>
        <v>Added Feedstuff #1</v>
      </c>
      <c r="C37" s="80"/>
      <c r="D37" s="80"/>
      <c r="F37" s="12">
        <v>0</v>
      </c>
      <c r="G37" s="4">
        <f t="shared" ref="G37:G40" si="0">+(F37/2000)*$K$17</f>
        <v>0</v>
      </c>
      <c r="H37" s="35">
        <f>+'Step 1 - Feed Cost Input Sheet '!B33</f>
        <v>0</v>
      </c>
      <c r="I37" s="80" t="s">
        <v>73</v>
      </c>
    </row>
    <row r="38" spans="1:9">
      <c r="A38" s="9"/>
      <c r="B38" s="27" t="str">
        <f>+'Step 1 - Feed Cost Input Sheet '!A34</f>
        <v>Added Feedstuff #2</v>
      </c>
      <c r="C38" s="80"/>
      <c r="D38" s="80"/>
      <c r="F38" s="12">
        <v>0</v>
      </c>
      <c r="G38" s="4">
        <f t="shared" si="0"/>
        <v>0</v>
      </c>
      <c r="H38" s="35">
        <f>+'Step 1 - Feed Cost Input Sheet '!B34</f>
        <v>0</v>
      </c>
      <c r="I38" s="80" t="s">
        <v>73</v>
      </c>
    </row>
    <row r="39" spans="1:9">
      <c r="A39" s="9"/>
      <c r="B39" s="27" t="str">
        <f>+'Step 1 - Feed Cost Input Sheet '!A35</f>
        <v>Added Feedstuff #3</v>
      </c>
      <c r="C39" s="80"/>
      <c r="D39" s="80"/>
      <c r="F39" s="12">
        <v>0</v>
      </c>
      <c r="G39" s="4">
        <f t="shared" si="0"/>
        <v>0</v>
      </c>
      <c r="H39" s="35">
        <f>+'Step 1 - Feed Cost Input Sheet '!B35</f>
        <v>0</v>
      </c>
      <c r="I39" s="80" t="s">
        <v>73</v>
      </c>
    </row>
    <row r="40" spans="1:9">
      <c r="A40" s="9"/>
      <c r="B40" s="27" t="str">
        <f>+'Step 1 - Feed Cost Input Sheet '!A36</f>
        <v>Added Feedstuff #4</v>
      </c>
      <c r="C40" s="80"/>
      <c r="D40" s="80"/>
      <c r="F40" s="12">
        <v>0</v>
      </c>
      <c r="G40" s="4">
        <f t="shared" si="0"/>
        <v>0</v>
      </c>
      <c r="H40" s="35">
        <f>+'Step 1 - Feed Cost Input Sheet '!B36</f>
        <v>0</v>
      </c>
      <c r="I40" s="80" t="s">
        <v>73</v>
      </c>
    </row>
    <row r="41" spans="1:9">
      <c r="A41" s="10"/>
      <c r="B41" s="37" t="str">
        <f>+'Step 1 - Feed Cost Input Sheet '!A37</f>
        <v>Pasture</v>
      </c>
      <c r="C41" s="135"/>
      <c r="D41" s="136"/>
      <c r="E41" s="8"/>
      <c r="F41" s="14">
        <v>0</v>
      </c>
      <c r="G41" s="8">
        <f>+(F41/0.75)*$K$17</f>
        <v>0</v>
      </c>
      <c r="H41" s="39">
        <f>+'Step 1 - Feed Cost Input Sheet '!B37</f>
        <v>60</v>
      </c>
      <c r="I41" s="135" t="s">
        <v>101</v>
      </c>
    </row>
    <row r="42" spans="1:9">
      <c r="A42" s="9"/>
      <c r="B42" s="27"/>
      <c r="C42" s="80"/>
      <c r="D42" s="143"/>
      <c r="H42" s="77"/>
      <c r="I42" s="80"/>
    </row>
    <row r="43" spans="1:9" ht="19" customHeight="1">
      <c r="A43" s="189" t="s">
        <v>309</v>
      </c>
      <c r="B43" s="171"/>
      <c r="C43" s="171"/>
      <c r="D43" s="171"/>
      <c r="E43" s="171"/>
      <c r="F43" s="171"/>
      <c r="H43" s="77"/>
      <c r="I43" s="80"/>
    </row>
    <row r="44" spans="1:9" ht="19" customHeight="1">
      <c r="A44" s="189" t="s">
        <v>351</v>
      </c>
      <c r="B44" s="171"/>
      <c r="C44" s="171"/>
      <c r="D44" s="171"/>
      <c r="E44" s="171"/>
      <c r="F44" s="171"/>
      <c r="H44" s="77"/>
      <c r="I44" s="80"/>
    </row>
    <row r="45" spans="1:9" ht="16" customHeight="1">
      <c r="A45" s="170"/>
      <c r="B45" s="170"/>
      <c r="C45" s="170"/>
      <c r="D45" s="170"/>
      <c r="E45" s="170"/>
      <c r="F45" s="170"/>
      <c r="H45" s="77"/>
      <c r="I45" s="80"/>
    </row>
    <row r="46" spans="1:9" ht="16" customHeight="1">
      <c r="A46" s="170"/>
      <c r="B46" s="170"/>
      <c r="C46" s="170"/>
      <c r="D46" s="170"/>
      <c r="E46" s="170"/>
      <c r="F46" s="170"/>
      <c r="H46" s="77"/>
      <c r="I46" s="80"/>
    </row>
    <row r="47" spans="1:9" ht="16" customHeight="1">
      <c r="A47" s="170"/>
      <c r="B47" s="170"/>
      <c r="C47" s="170"/>
      <c r="D47" s="170"/>
      <c r="E47" s="170"/>
      <c r="F47" s="170"/>
      <c r="H47" s="77"/>
      <c r="I47" s="80"/>
    </row>
    <row r="48" spans="1:9">
      <c r="A48" s="9"/>
      <c r="B48" s="27"/>
      <c r="C48" s="80"/>
      <c r="D48" s="143"/>
      <c r="F48" s="99"/>
      <c r="H48" s="77"/>
      <c r="I48" s="80"/>
    </row>
    <row r="49" spans="1:11">
      <c r="A49" s="175">
        <f>+'Step 1 - Feed Cost Input Sheet '!F23</f>
        <v>46029</v>
      </c>
      <c r="B49" s="175"/>
    </row>
    <row r="50" spans="1:11">
      <c r="A50" s="23" t="s">
        <v>10</v>
      </c>
      <c r="B50" s="137"/>
      <c r="C50" s="137"/>
      <c r="D50" s="137"/>
      <c r="E50" s="137"/>
      <c r="F50" s="137"/>
      <c r="G50" s="137"/>
      <c r="H50" s="137"/>
      <c r="I50" s="137"/>
      <c r="K50" s="138"/>
    </row>
    <row r="51" spans="1:11">
      <c r="A51" s="7" t="s">
        <v>37</v>
      </c>
      <c r="B51" s="49">
        <f>+(D12-D17)*100</f>
        <v>700</v>
      </c>
      <c r="C51" s="23" t="s">
        <v>109</v>
      </c>
      <c r="D51" s="127">
        <f>+I17</f>
        <v>7</v>
      </c>
      <c r="E51" s="23" t="s">
        <v>61</v>
      </c>
      <c r="G51" s="11">
        <f>B51/(D51*30)</f>
        <v>3.3333333333333335</v>
      </c>
      <c r="H51" s="23" t="s">
        <v>94</v>
      </c>
      <c r="K51" s="138"/>
    </row>
    <row r="52" spans="1:11">
      <c r="A52" s="26" t="s">
        <v>11</v>
      </c>
      <c r="K52" s="7"/>
    </row>
    <row r="53" spans="1:11">
      <c r="B53" s="23" t="s">
        <v>62</v>
      </c>
      <c r="E53" s="4">
        <f>D12</f>
        <v>14</v>
      </c>
      <c r="F53" s="11" t="s">
        <v>43</v>
      </c>
      <c r="G53" s="103">
        <f>D13</f>
        <v>183</v>
      </c>
      <c r="I53" s="103">
        <f>E53*G53</f>
        <v>2562</v>
      </c>
      <c r="K53" s="52"/>
    </row>
    <row r="54" spans="1:11" ht="17" thickBot="1">
      <c r="B54" s="23" t="s">
        <v>44</v>
      </c>
      <c r="D54" s="7" t="s">
        <v>29</v>
      </c>
      <c r="E54" s="4">
        <f>D14</f>
        <v>1</v>
      </c>
      <c r="F54" s="11" t="s">
        <v>63</v>
      </c>
      <c r="G54" s="95">
        <f>SUM(I53)</f>
        <v>2562</v>
      </c>
      <c r="H54" s="23" t="s">
        <v>27</v>
      </c>
      <c r="I54" s="105">
        <f>-(E54*G54/100)</f>
        <v>-25.62</v>
      </c>
      <c r="K54" s="52"/>
    </row>
    <row r="55" spans="1:11" ht="17" thickBot="1">
      <c r="D55" s="23" t="s">
        <v>12</v>
      </c>
      <c r="I55" s="106">
        <f>SUM(I53:I54)</f>
        <v>2536.38</v>
      </c>
      <c r="K55" s="52"/>
    </row>
    <row r="57" spans="1:11">
      <c r="A57" s="26" t="s">
        <v>13</v>
      </c>
    </row>
    <row r="58" spans="1:11">
      <c r="B58" s="23" t="s">
        <v>64</v>
      </c>
      <c r="E58" s="4">
        <f>D17</f>
        <v>7</v>
      </c>
      <c r="F58" s="7" t="s">
        <v>15</v>
      </c>
      <c r="G58" s="103">
        <f>D18</f>
        <v>250</v>
      </c>
      <c r="I58" s="103">
        <f>E58*G58</f>
        <v>1750</v>
      </c>
      <c r="K58" s="52"/>
    </row>
    <row r="59" spans="1:11">
      <c r="B59" s="23" t="s">
        <v>99</v>
      </c>
      <c r="F59" s="7"/>
      <c r="I59" s="103">
        <f>+SUM(H60:H73)</f>
        <v>204.19942499999996</v>
      </c>
    </row>
    <row r="60" spans="1:11">
      <c r="C60" s="23" t="str">
        <f t="shared" ref="C60:C68" si="1">+B28</f>
        <v>20% Liquid</v>
      </c>
      <c r="E60" s="7">
        <f t="shared" ref="E60:E68" si="2">+G28</f>
        <v>2.7930000000000001</v>
      </c>
      <c r="F60" s="7" t="s">
        <v>15</v>
      </c>
      <c r="G60" s="103">
        <f t="shared" ref="G60:G68" si="3">+H28</f>
        <v>15</v>
      </c>
      <c r="H60" s="103">
        <f>+E60*G60</f>
        <v>41.895000000000003</v>
      </c>
      <c r="I60" s="43"/>
      <c r="K60" s="52"/>
    </row>
    <row r="61" spans="1:11">
      <c r="C61" s="23" t="str">
        <f t="shared" si="1"/>
        <v>Mineral &amp; Salt</v>
      </c>
      <c r="E61" s="7">
        <f t="shared" si="2"/>
        <v>0</v>
      </c>
      <c r="F61" s="7" t="s">
        <v>15</v>
      </c>
      <c r="G61" s="103">
        <f t="shared" si="3"/>
        <v>22</v>
      </c>
      <c r="H61" s="103">
        <f t="shared" ref="H61:H73" si="4">+E61*G61</f>
        <v>0</v>
      </c>
      <c r="I61" s="43"/>
      <c r="K61" s="52"/>
    </row>
    <row r="62" spans="1:11">
      <c r="C62" s="4" t="str">
        <f t="shared" si="1"/>
        <v>Dry Corn</v>
      </c>
      <c r="E62" s="7">
        <f t="shared" si="2"/>
        <v>25.387499999999999</v>
      </c>
      <c r="F62" s="7" t="s">
        <v>49</v>
      </c>
      <c r="G62" s="103">
        <f t="shared" si="3"/>
        <v>3.25</v>
      </c>
      <c r="H62" s="103">
        <f>+E62*G62</f>
        <v>82.509374999999991</v>
      </c>
    </row>
    <row r="63" spans="1:11">
      <c r="C63" s="4" t="str">
        <f t="shared" si="1"/>
        <v>High Moisture Corn</v>
      </c>
      <c r="E63" s="7">
        <f t="shared" si="2"/>
        <v>13.05</v>
      </c>
      <c r="F63" s="7" t="s">
        <v>49</v>
      </c>
      <c r="G63" s="103">
        <f t="shared" si="3"/>
        <v>2.25</v>
      </c>
      <c r="H63" s="103">
        <f>+E63*G63</f>
        <v>29.362500000000001</v>
      </c>
      <c r="K63" s="52"/>
    </row>
    <row r="64" spans="1:11">
      <c r="C64" s="4" t="str">
        <f t="shared" si="1"/>
        <v>Hay</v>
      </c>
      <c r="E64" s="7">
        <f t="shared" si="2"/>
        <v>5.985E-2</v>
      </c>
      <c r="F64" s="7" t="s">
        <v>50</v>
      </c>
      <c r="G64" s="103">
        <f t="shared" si="3"/>
        <v>120</v>
      </c>
      <c r="H64" s="103">
        <f t="shared" si="4"/>
        <v>7.1820000000000004</v>
      </c>
      <c r="K64" s="52"/>
    </row>
    <row r="65" spans="1:11">
      <c r="C65" s="4" t="str">
        <f t="shared" si="1"/>
        <v>Alfalfa</v>
      </c>
      <c r="E65" s="7">
        <f t="shared" si="2"/>
        <v>0</v>
      </c>
      <c r="F65" s="7" t="s">
        <v>50</v>
      </c>
      <c r="G65" s="103">
        <f t="shared" si="3"/>
        <v>150</v>
      </c>
      <c r="H65" s="103">
        <f t="shared" si="4"/>
        <v>0</v>
      </c>
      <c r="K65" s="52"/>
    </row>
    <row r="66" spans="1:11">
      <c r="C66" s="4" t="str">
        <f t="shared" si="1"/>
        <v>Silage</v>
      </c>
      <c r="E66" s="7">
        <f t="shared" si="2"/>
        <v>0.19215000000000002</v>
      </c>
      <c r="F66" s="7" t="s">
        <v>50</v>
      </c>
      <c r="G66" s="103">
        <f t="shared" si="3"/>
        <v>32</v>
      </c>
      <c r="H66" s="103">
        <f t="shared" si="4"/>
        <v>6.1488000000000005</v>
      </c>
    </row>
    <row r="67" spans="1:11">
      <c r="C67" s="23" t="str">
        <f t="shared" si="1"/>
        <v>Corn Stover</v>
      </c>
      <c r="E67" s="7">
        <f t="shared" si="2"/>
        <v>0.21524999999999997</v>
      </c>
      <c r="F67" s="7" t="s">
        <v>50</v>
      </c>
      <c r="G67" s="103">
        <f t="shared" si="3"/>
        <v>50</v>
      </c>
      <c r="H67" s="103">
        <f t="shared" si="4"/>
        <v>10.762499999999999</v>
      </c>
      <c r="I67" s="43"/>
      <c r="K67" s="52"/>
    </row>
    <row r="68" spans="1:11">
      <c r="C68" s="23" t="str">
        <f t="shared" si="1"/>
        <v>Dried Distillers</v>
      </c>
      <c r="E68" s="7">
        <f t="shared" si="2"/>
        <v>0.18165000000000001</v>
      </c>
      <c r="F68" s="7" t="s">
        <v>50</v>
      </c>
      <c r="G68" s="103">
        <f t="shared" si="3"/>
        <v>145</v>
      </c>
      <c r="H68" s="103">
        <f t="shared" si="4"/>
        <v>26.33925</v>
      </c>
      <c r="I68" s="43"/>
      <c r="K68" s="52"/>
    </row>
    <row r="69" spans="1:11">
      <c r="C69" s="23" t="str">
        <f t="shared" ref="C69:C72" si="5">+B37</f>
        <v>Added Feedstuff #1</v>
      </c>
      <c r="E69" s="7">
        <f t="shared" ref="E69:E72" si="6">+G37</f>
        <v>0</v>
      </c>
      <c r="F69" s="7" t="s">
        <v>50</v>
      </c>
      <c r="G69" s="103">
        <f t="shared" ref="G69:G72" si="7">+H37</f>
        <v>0</v>
      </c>
      <c r="H69" s="103">
        <f t="shared" ref="H69:H72" si="8">+E69*G69</f>
        <v>0</v>
      </c>
      <c r="I69" s="43"/>
      <c r="K69" s="52"/>
    </row>
    <row r="70" spans="1:11">
      <c r="C70" s="23" t="str">
        <f t="shared" si="5"/>
        <v>Added Feedstuff #2</v>
      </c>
      <c r="E70" s="7">
        <f t="shared" si="6"/>
        <v>0</v>
      </c>
      <c r="F70" s="7" t="s">
        <v>50</v>
      </c>
      <c r="G70" s="103">
        <f t="shared" si="7"/>
        <v>0</v>
      </c>
      <c r="H70" s="103">
        <f t="shared" si="8"/>
        <v>0</v>
      </c>
      <c r="I70" s="43"/>
      <c r="K70" s="52"/>
    </row>
    <row r="71" spans="1:11">
      <c r="C71" s="23" t="str">
        <f t="shared" si="5"/>
        <v>Added Feedstuff #3</v>
      </c>
      <c r="E71" s="7">
        <f t="shared" si="6"/>
        <v>0</v>
      </c>
      <c r="F71" s="7" t="s">
        <v>50</v>
      </c>
      <c r="G71" s="103">
        <f t="shared" si="7"/>
        <v>0</v>
      </c>
      <c r="H71" s="103">
        <f t="shared" si="8"/>
        <v>0</v>
      </c>
      <c r="I71" s="43"/>
      <c r="K71" s="52"/>
    </row>
    <row r="72" spans="1:11">
      <c r="C72" s="23" t="str">
        <f t="shared" si="5"/>
        <v>Added Feedstuff #4</v>
      </c>
      <c r="E72" s="7">
        <f t="shared" si="6"/>
        <v>0</v>
      </c>
      <c r="F72" s="7" t="s">
        <v>50</v>
      </c>
      <c r="G72" s="103">
        <f t="shared" si="7"/>
        <v>0</v>
      </c>
      <c r="H72" s="103">
        <f t="shared" si="8"/>
        <v>0</v>
      </c>
      <c r="I72" s="43"/>
      <c r="K72" s="52"/>
    </row>
    <row r="73" spans="1:11">
      <c r="C73" s="23" t="str">
        <f t="shared" ref="C73" si="9">+B41</f>
        <v>Pasture</v>
      </c>
      <c r="E73" s="7">
        <f t="shared" ref="E73" si="10">+G41</f>
        <v>0</v>
      </c>
      <c r="F73" s="7" t="s">
        <v>110</v>
      </c>
      <c r="G73" s="103">
        <f t="shared" ref="G73" si="11">+H41</f>
        <v>60</v>
      </c>
      <c r="H73" s="103">
        <f t="shared" si="4"/>
        <v>0</v>
      </c>
      <c r="K73" s="52"/>
    </row>
    <row r="74" spans="1:11">
      <c r="B74" s="23" t="s">
        <v>16</v>
      </c>
      <c r="I74" s="103">
        <f>D21</f>
        <v>10</v>
      </c>
      <c r="K74" s="52"/>
    </row>
    <row r="75" spans="1:11">
      <c r="B75" s="23" t="s">
        <v>17</v>
      </c>
      <c r="I75" s="103">
        <f>D22</f>
        <v>30</v>
      </c>
      <c r="K75" s="52"/>
    </row>
    <row r="76" spans="1:11">
      <c r="B76" s="23" t="s">
        <v>18</v>
      </c>
      <c r="I76" s="44">
        <f>D23</f>
        <v>20.25</v>
      </c>
      <c r="K76" s="52"/>
    </row>
    <row r="77" spans="1:11" ht="17" thickBot="1">
      <c r="B77" s="23" t="s">
        <v>121</v>
      </c>
      <c r="I77" s="44">
        <f>+IF(I20=0,(I21/I23*I22/I24),(I20*I21/I24))</f>
        <v>1.08</v>
      </c>
      <c r="K77" s="52"/>
    </row>
    <row r="78" spans="1:11" ht="17" thickBot="1">
      <c r="D78" s="23" t="s">
        <v>19</v>
      </c>
      <c r="I78" s="106">
        <f>SUM(I58:I77)</f>
        <v>2015.5294249999999</v>
      </c>
    </row>
    <row r="79" spans="1:11" ht="17" thickBot="1">
      <c r="A79" s="26" t="s">
        <v>20</v>
      </c>
      <c r="I79" s="106">
        <f>I55-I78</f>
        <v>520.85057500000016</v>
      </c>
      <c r="K79" s="52"/>
    </row>
    <row r="81" spans="1:13">
      <c r="A81" s="26" t="s">
        <v>21</v>
      </c>
    </row>
    <row r="82" spans="1:13">
      <c r="B82" s="23" t="s">
        <v>22</v>
      </c>
      <c r="G82" s="110">
        <f>I12/100</f>
        <v>0.09</v>
      </c>
    </row>
    <row r="83" spans="1:13">
      <c r="B83" s="23" t="s">
        <v>23</v>
      </c>
      <c r="I83" s="103">
        <f>((I78*I12))/100</f>
        <v>181.39764824999997</v>
      </c>
      <c r="K83" s="52"/>
    </row>
    <row r="84" spans="1:13">
      <c r="B84" s="23" t="s">
        <v>24</v>
      </c>
      <c r="I84" s="103">
        <f>I13</f>
        <v>8</v>
      </c>
      <c r="K84" s="52"/>
    </row>
    <row r="85" spans="1:13" ht="17" thickBot="1">
      <c r="B85" s="23" t="s">
        <v>268</v>
      </c>
      <c r="I85" s="105">
        <f>(I78+I14)*0.025</f>
        <v>53.513235624999993</v>
      </c>
      <c r="K85" s="52"/>
    </row>
    <row r="86" spans="1:13" ht="17" thickBot="1">
      <c r="D86" s="4" t="s">
        <v>266</v>
      </c>
      <c r="I86" s="111">
        <f>+SUM(I83:I85)</f>
        <v>242.91088387499997</v>
      </c>
    </row>
    <row r="87" spans="1:13" ht="17" thickBot="1">
      <c r="D87" s="23" t="s">
        <v>25</v>
      </c>
      <c r="I87" s="106">
        <f>I79-SUM(I82:I85)</f>
        <v>277.93969112500019</v>
      </c>
      <c r="K87" s="52"/>
    </row>
    <row r="88" spans="1:13">
      <c r="D88" s="23"/>
      <c r="I88" s="103"/>
      <c r="K88" s="52"/>
    </row>
    <row r="89" spans="1:13">
      <c r="B89" s="23" t="s">
        <v>104</v>
      </c>
      <c r="H89" s="103">
        <f>(I78+I54+I86)/D12</f>
        <v>159.48716491964288</v>
      </c>
      <c r="I89" s="4" t="s">
        <v>103</v>
      </c>
    </row>
    <row r="90" spans="1:13" ht="16" customHeight="1">
      <c r="E90" s="7" t="s">
        <v>52</v>
      </c>
      <c r="F90" s="139">
        <f>G58</f>
        <v>250</v>
      </c>
      <c r="G90" s="23" t="s">
        <v>53</v>
      </c>
      <c r="K90" s="29" t="s">
        <v>359</v>
      </c>
      <c r="L90" s="29"/>
      <c r="M90" s="29"/>
    </row>
    <row r="91" spans="1:13">
      <c r="A91" s="7"/>
      <c r="B91" s="7"/>
      <c r="C91" s="7"/>
      <c r="D91" s="139"/>
      <c r="F91" s="7" t="s">
        <v>102</v>
      </c>
      <c r="G91" s="11">
        <f>(SUM(I59:I77)+SUM(I83:I85))/(E53-E58)</f>
        <v>72.634329839285698</v>
      </c>
      <c r="H91" s="23" t="s">
        <v>123</v>
      </c>
      <c r="I91" s="23"/>
      <c r="K91" s="29" t="s">
        <v>360</v>
      </c>
      <c r="L91" s="29"/>
      <c r="M91" s="29"/>
    </row>
    <row r="92" spans="1:13">
      <c r="B92" s="23" t="s">
        <v>105</v>
      </c>
      <c r="H92" s="43">
        <f>(I55-(SUM(I59:I77)+SUM(I83:I85)))/E58</f>
        <v>289.70567016071431</v>
      </c>
      <c r="I92" s="4" t="s">
        <v>103</v>
      </c>
      <c r="K92" s="29"/>
      <c r="L92" s="29"/>
      <c r="M92" s="29"/>
    </row>
    <row r="93" spans="1:13">
      <c r="E93" s="7" t="s">
        <v>57</v>
      </c>
      <c r="F93" s="139">
        <f>G53</f>
        <v>183</v>
      </c>
      <c r="G93" s="23" t="s">
        <v>53</v>
      </c>
    </row>
    <row r="94" spans="1:13">
      <c r="B94" s="7"/>
      <c r="C94" s="7"/>
      <c r="D94" s="7"/>
      <c r="E94" s="7"/>
      <c r="F94" s="139"/>
      <c r="G94" s="23"/>
    </row>
    <row r="95" spans="1:13">
      <c r="A95" s="26" t="s">
        <v>108</v>
      </c>
    </row>
    <row r="96" spans="1:13" ht="15" customHeight="1">
      <c r="B96" s="176"/>
      <c r="C96" s="180" t="s">
        <v>65</v>
      </c>
      <c r="D96" s="180"/>
      <c r="E96" s="180"/>
      <c r="F96" s="180"/>
      <c r="G96" s="180"/>
      <c r="H96" s="180"/>
    </row>
    <row r="97" spans="1:8" ht="51">
      <c r="A97" s="176"/>
      <c r="B97" s="177" t="s">
        <v>107</v>
      </c>
      <c r="C97" s="140">
        <f>E97-8</f>
        <v>175</v>
      </c>
      <c r="D97" s="140">
        <f>E97-4</f>
        <v>179</v>
      </c>
      <c r="E97" s="140">
        <f>$G$53</f>
        <v>183</v>
      </c>
      <c r="F97" s="140">
        <f>E97+4</f>
        <v>187</v>
      </c>
      <c r="G97" s="140">
        <f>E97+8</f>
        <v>191</v>
      </c>
      <c r="H97" s="140">
        <f>E97+12</f>
        <v>195</v>
      </c>
    </row>
    <row r="98" spans="1:8">
      <c r="B98" s="141">
        <f>B100-10</f>
        <v>240</v>
      </c>
      <c r="C98" s="103">
        <f>(($E$53*C97)-($E$54/100*$E$53*C97))-(($E$58*B98)+SUM($I$59:$I$77)+SUM($I$83:$I$85))</f>
        <v>237.05969112499997</v>
      </c>
      <c r="D98" s="103">
        <f>(($E$53*D97)-($E$54/100*$E$53*D97))-(($E$58*B98)+SUM($I$59:$I$77)+SUM($I$83:$I$85))</f>
        <v>292.49969112500003</v>
      </c>
      <c r="E98" s="103">
        <f>(($E$53*E97)-($E$54/100*$E$53*E97))-(($E$58*B98)+SUM($I$59:$I$77)+SUM($I$83:$I$85))</f>
        <v>347.93969112500008</v>
      </c>
      <c r="F98" s="103">
        <f>(($E$53*F97)-($E$54/100*$E$53*F97))-(($E$58*B98)+SUM($I$59:$I$77)+SUM($I$83:$I$85))</f>
        <v>403.37969112500014</v>
      </c>
      <c r="G98" s="103">
        <f>(($E$53*G97)-($E$54/100*$E$53*G97))-(($E$58*B98)+SUM($I$59:$I$77)+SUM($I$83:$I$85))</f>
        <v>458.81969112500019</v>
      </c>
      <c r="H98" s="103">
        <f>(($E$53*H97)-($E$54/100*$E$53*H97))-(($E$58*B98)+SUM($I$59:$I$77)+SUM($I$83:$I$85))</f>
        <v>514.25969112499979</v>
      </c>
    </row>
    <row r="99" spans="1:8" ht="17" thickBot="1">
      <c r="B99" s="141">
        <f>B100-5</f>
        <v>245</v>
      </c>
      <c r="C99" s="103">
        <f>(($E$53*C97)-($E$54/100*$E$53*C97))-(($E$58*B99)+SUM($I$59:$I$77)+SUM($I$83:$I$85))</f>
        <v>202.05969112499997</v>
      </c>
      <c r="D99" s="103">
        <f>(($E$53*D97)-($E$54/100*$E$53*D97))-(($E$58*B99)+SUM($I$59:$I$77)+SUM($I$83:$I$85))</f>
        <v>257.49969112500003</v>
      </c>
      <c r="E99" s="103">
        <f>(($E$53*E97)-($E$54/100*$E$53*E97))-(($E$58*B99)+SUM($I$59:$I$77)+SUM($I$83:$I$85))</f>
        <v>312.93969112500008</v>
      </c>
      <c r="F99" s="103">
        <f>(($E$53*F97)-($E$54/100*$E$53*F97))-(($E$58*B99)+SUM($I$59:$I$77)+SUM($I$83:$I$85))</f>
        <v>368.37969112500014</v>
      </c>
      <c r="G99" s="103">
        <f>(($E$53*G97)-($E$54/100*$E$53*G97))-(($E$58*B99)+SUM($I$59:$I$77)+SUM($I$83:$I$85))</f>
        <v>423.81969112500019</v>
      </c>
      <c r="H99" s="103">
        <f>(($E$53*H97)-($E$54/100*$E$53*H97))-(($E$58*B99)+SUM($I$59:$I$77)+SUM($I$83:$I$85))</f>
        <v>479.25969112499979</v>
      </c>
    </row>
    <row r="100" spans="1:8" ht="17" thickBot="1">
      <c r="B100" s="141">
        <f>$G$58</f>
        <v>250</v>
      </c>
      <c r="C100" s="103">
        <f>(($E$53*C97)-($E$54/100*$E$53*C97))-(($E$58*B100)+SUM($I$59:$I$77)+SUM($I$83:$I$85))</f>
        <v>167.05969112499997</v>
      </c>
      <c r="D100" s="103">
        <f>(($E$53*D97)-($E$54/100*$E$53*D97))-(($E$58*B100)+SUM($I$59:$I$77)+SUM($I$83:$I$85))</f>
        <v>222.49969112500003</v>
      </c>
      <c r="E100" s="106">
        <f>(($E$53*E97)-($E$54/100*$E$53*E97))-(($E$58*B100)+SUM($I$59:$I$77)+SUM($I$83:$I$85))</f>
        <v>277.93969112500008</v>
      </c>
      <c r="F100" s="103">
        <f>(($E$53*F97)-($E$54/100*$E$53*F97))-(($E$58*B100)+SUM($I$59:$I$77)+SUM($I$83:$I$85))</f>
        <v>333.37969112500014</v>
      </c>
      <c r="G100" s="103">
        <f>(($E$53*G97)-($E$54/100*$E$53*G97))-(($E$58*B100)+SUM($I$59:$I$77)+SUM($I$83:$I$85))</f>
        <v>388.81969112500019</v>
      </c>
      <c r="H100" s="103">
        <f>(($E$53*H97)-($E$54/100*$E$53*H97))-(($E$58*B100)+SUM($I$59:$I$77)+SUM($I$83:$I$85))</f>
        <v>444.25969112499979</v>
      </c>
    </row>
    <row r="101" spans="1:8">
      <c r="B101" s="141">
        <f>B100+5</f>
        <v>255</v>
      </c>
      <c r="C101" s="103">
        <f>(($E$53*C97)-($E$54/100*$E$53*C97))-(($E$58*B101)+SUM($I$59:$I$77)+SUM($I$83:$I$85))</f>
        <v>132.05969112500043</v>
      </c>
      <c r="D101" s="103">
        <f>(($E$53*D97)-($E$54/100*$E$53*D97))-(($E$58*B101)+SUM($I$59:$I$77)+SUM($I$83:$I$85))</f>
        <v>187.49969112500048</v>
      </c>
      <c r="E101" s="103">
        <f>(($E$53*E97)-($E$54/100*$E$53*E97))-(($E$58*B101)+SUM($I$59:$I$77)+SUM($I$83:$I$85))</f>
        <v>242.93969112500054</v>
      </c>
      <c r="F101" s="103">
        <f>(($E$53*F97)-($E$54/100*$E$53*F97))-(($E$58*B101)+SUM($I$59:$I$77)+SUM($I$83:$I$85))</f>
        <v>298.37969112500059</v>
      </c>
      <c r="G101" s="103">
        <f>(($E$53*G97)-($E$54/100*$E$53*G97))-(($E$58*B101)+SUM($I$59:$I$77)+SUM($I$83:$I$85))</f>
        <v>353.81969112500065</v>
      </c>
      <c r="H101" s="103">
        <f>(($E$53*H97)-($E$54/100*$E$53*H97))-(($E$58*B101)+SUM($I$59:$I$77)+SUM($I$83:$I$85))</f>
        <v>409.25969112500024</v>
      </c>
    </row>
    <row r="102" spans="1:8">
      <c r="B102" s="141">
        <f>B100+10</f>
        <v>260</v>
      </c>
      <c r="C102" s="103">
        <f>(($E$53*C97)-($E$54/100*$E$53*C97))-(($E$58*B102)+SUM($I$59:$I$77)+SUM($I$83:$I$85))</f>
        <v>97.059691125000427</v>
      </c>
      <c r="D102" s="103">
        <f>(($E$53*D97)-($E$54/100*$E$53*D97))-(($E$58*B102)+SUM($I$59:$I$77)+SUM($I$83:$I$85))</f>
        <v>152.49969112500048</v>
      </c>
      <c r="E102" s="103">
        <f>(($E$53*E97)-($E$54/100*$E$53*E97))-(($E$58*B102)+SUM($I$59:$I$77)+SUM($I$83:$I$85))</f>
        <v>207.93969112500054</v>
      </c>
      <c r="F102" s="103">
        <f>(($E$53*F97)-($E$54/100*$E$53*F97))-(($E$58*B102)+SUM($I$59:$I$77)+SUM($I$83:$I$85))</f>
        <v>263.37969112500059</v>
      </c>
      <c r="G102" s="103">
        <f>(($E$53*G97)-($E$54/100*$E$53*G97))-(($E$58*B102)+SUM($I$59:$I$77)+SUM($I$83:$I$85))</f>
        <v>318.81969112500065</v>
      </c>
      <c r="H102" s="103">
        <f>(($E$53*H97)-($E$54/100*$E$53*H97))-(($E$58*B102)+SUM($I$59:$I$77)+SUM($I$83:$I$85))</f>
        <v>374.25969112500024</v>
      </c>
    </row>
    <row r="104" spans="1:8">
      <c r="A104" s="116" t="s">
        <v>108</v>
      </c>
    </row>
    <row r="105" spans="1:8">
      <c r="B105" s="113"/>
      <c r="C105" s="43" t="s">
        <v>66</v>
      </c>
      <c r="D105" s="43"/>
      <c r="E105" s="103">
        <f>$G$58</f>
        <v>250</v>
      </c>
      <c r="F105" s="104" t="s">
        <v>60</v>
      </c>
    </row>
    <row r="106" spans="1:8" ht="15" customHeight="1">
      <c r="B106" s="176"/>
    </row>
    <row r="107" spans="1:8" ht="34">
      <c r="A107" s="176"/>
      <c r="B107" s="179" t="s">
        <v>106</v>
      </c>
      <c r="C107" s="140">
        <f>E107-8</f>
        <v>175</v>
      </c>
      <c r="D107" s="140">
        <f>E107-4</f>
        <v>179</v>
      </c>
      <c r="E107" s="140">
        <f>$G$53</f>
        <v>183</v>
      </c>
      <c r="F107" s="140">
        <f>E107+4</f>
        <v>187</v>
      </c>
      <c r="G107" s="140">
        <f>E107+8</f>
        <v>191</v>
      </c>
      <c r="H107" s="140">
        <f>E107+12</f>
        <v>195</v>
      </c>
    </row>
    <row r="108" spans="1:8">
      <c r="B108" s="142">
        <f>B110-0.1</f>
        <v>0.62634329839285696</v>
      </c>
      <c r="C108" s="103">
        <f>(($E$53*C107)-($E$54/100*$E$53*C107))-($I$58+(B108*100*($E$53-$E$58)))</f>
        <v>237.05969112499997</v>
      </c>
      <c r="D108" s="103">
        <f>(($E$53*D107)-($E$54/100*$E$53*D107))-($I$58+(B108*100*($E$53-$E$58)))</f>
        <v>292.49969112500003</v>
      </c>
      <c r="E108" s="103">
        <f>(($E$53*E107)-($E$54/100*$E$53*E107))-($I$58+(B108*100*($E$53-$E$58)))</f>
        <v>347.93969112500008</v>
      </c>
      <c r="F108" s="103">
        <f>(($E$53*F107)-($E$54/100*$E$53*F107))-($I$58+(B108*100*($E$53-$E$58)))</f>
        <v>403.37969112500014</v>
      </c>
      <c r="G108" s="103">
        <f>(($E$53*G107)-($E$54/100*$E$53*G107))-($I$58+(B108*100*($E$53-$E$58)))</f>
        <v>458.81969112500019</v>
      </c>
      <c r="H108" s="103">
        <f>(($E$53*H107)-($E$54/100*$E$53*H107))-($I$58+(B108*100*($E$53-$E$58)))</f>
        <v>514.25969112499979</v>
      </c>
    </row>
    <row r="109" spans="1:8" ht="17" thickBot="1">
      <c r="B109" s="142">
        <f>B110-0.05</f>
        <v>0.6763432983928569</v>
      </c>
      <c r="C109" s="103">
        <f>(($E$53*C107)-($E$54/100*$E$53*C107))-($I$58+(B109*100*($E$53-$E$58)))</f>
        <v>202.05969112500043</v>
      </c>
      <c r="D109" s="103">
        <f>(($E$53*D107)-($E$54/100*$E$53*D107))-($I$58+(B109*100*($E$53-$E$58)))</f>
        <v>257.49969112500048</v>
      </c>
      <c r="E109" s="103">
        <f>(($E$53*E107)-($E$54/100*$E$53*E107))-($I$58+(B109*100*($E$53-$E$58)))</f>
        <v>312.93969112500054</v>
      </c>
      <c r="F109" s="103">
        <f>(($E$53*F107)-($E$54/100*$E$53*F107))-($I$58+(B109*100*($E$53-$E$58)))</f>
        <v>368.37969112500059</v>
      </c>
      <c r="G109" s="103">
        <f>(($E$53*G107)-($E$54/100*$E$53*G107))-($I$58+(B109*100*($E$53-$E$58)))</f>
        <v>423.81969112500065</v>
      </c>
      <c r="H109" s="103">
        <f>(($E$53*H107)-($E$54/100*$E$53*H107))-($I$58+(B109*100*($E$53-$E$58)))</f>
        <v>479.25969112500024</v>
      </c>
    </row>
    <row r="110" spans="1:8" ht="17" thickBot="1">
      <c r="B110" s="142">
        <f>$G$91/100</f>
        <v>0.72634329839285694</v>
      </c>
      <c r="C110" s="103">
        <f>(($E$53*C107)-($E$54/100*$E$53*C107))-($I$58+(B110*100*($E$53-$E$58)))</f>
        <v>167.05969112499997</v>
      </c>
      <c r="D110" s="103">
        <f>(($E$53*D107)-($E$54/100*$E$53*D107))-($I$58+(B110*100*($E$53-$E$58)))</f>
        <v>222.49969112500003</v>
      </c>
      <c r="E110" s="106">
        <f>(($E$53*E107)-($E$54/100*$E$53*E107))-($I$58+(B110*100*($E$53-$E$58)))</f>
        <v>277.93969112500008</v>
      </c>
      <c r="F110" s="103">
        <f>(($E$53*F107)-($E$54/100*$E$53*F107))-($I$58+(B110*100*($E$53-$E$58)))</f>
        <v>333.37969112500014</v>
      </c>
      <c r="G110" s="103">
        <f>(($E$53*G107)-($E$54/100*$E$53*G107))-($I$58+(B110*100*($E$53-$E$58)))</f>
        <v>388.81969112500019</v>
      </c>
      <c r="H110" s="103">
        <f>(($E$53*H107)-($E$54/100*$E$53*H107))-($I$58+(B110*100*($E$53-$E$58)))</f>
        <v>444.25969112499979</v>
      </c>
    </row>
    <row r="111" spans="1:8">
      <c r="B111" s="142">
        <f>B110+0.05</f>
        <v>0.77634329839285698</v>
      </c>
      <c r="C111" s="103">
        <f>(($E$53*C107)-($E$54/100*$E$53*C107))-($I$58+(B111*100*($E$53-$E$58)))</f>
        <v>132.05969112499997</v>
      </c>
      <c r="D111" s="103">
        <f>(($E$53*D107)-($E$54/100*$E$53*D107))-($I$58+(B111*100*($E$53-$E$58)))</f>
        <v>187.49969112500003</v>
      </c>
      <c r="E111" s="103">
        <f>(($E$53*E107)-($E$54/100*$E$53*E107))-($I$58+(B111*100*($E$53-$E$58)))</f>
        <v>242.93969112500008</v>
      </c>
      <c r="F111" s="103">
        <f>(($E$53*F107)-($E$54/100*$E$53*F107))-($I$58+(B111*100*($E$53-$E$58)))</f>
        <v>298.37969112500014</v>
      </c>
      <c r="G111" s="103">
        <f>(($E$53*G107)-($E$54/100*$E$53*G107))-($I$58+(B111*100*($E$53-$E$58)))</f>
        <v>353.81969112500019</v>
      </c>
      <c r="H111" s="103">
        <f>(($E$53*H107)-($E$54/100*$E$53*H107))-($I$58+(B111*100*($E$53-$E$58)))</f>
        <v>409.25969112499979</v>
      </c>
    </row>
    <row r="112" spans="1:8">
      <c r="B112" s="142">
        <f>B110+0.1</f>
        <v>0.82634329839285692</v>
      </c>
      <c r="C112" s="103">
        <f>(($E$53*C107)-($E$54/100*$E$53*C107))-($I$58+(B112*100*($E$53-$E$58)))</f>
        <v>97.059691124999972</v>
      </c>
      <c r="D112" s="103">
        <f>(($E$53*D107)-($E$54/100*$E$53*D107))-($I$58+(B112*100*($E$53-$E$58)))</f>
        <v>152.49969112500003</v>
      </c>
      <c r="E112" s="103">
        <f>(($E$53*E107)-($E$54/100*$E$53*E107))-($I$58+(B112*100*($E$53-$E$58)))</f>
        <v>207.93969112500008</v>
      </c>
      <c r="F112" s="103">
        <f>(($E$53*F107)-($E$54/100*$E$53*F107))-($I$58+(B112*100*($E$53-$E$58)))</f>
        <v>263.37969112500014</v>
      </c>
      <c r="G112" s="103">
        <f>(($E$53*G107)-($E$54/100*$E$53*G107))-($I$58+(B112*100*($E$53-$E$58)))</f>
        <v>318.81969112500019</v>
      </c>
      <c r="H112" s="103">
        <f>(($E$53*H107)-($E$54/100*$E$53*H107))-($I$58+(B112*100*($E$53-$E$58)))</f>
        <v>374.25969112499979</v>
      </c>
    </row>
    <row r="114" spans="1:9">
      <c r="A114" s="116" t="s">
        <v>108</v>
      </c>
    </row>
    <row r="115" spans="1:9">
      <c r="B115" s="113"/>
      <c r="C115" s="43" t="s">
        <v>66</v>
      </c>
      <c r="D115" s="43"/>
      <c r="E115" s="103">
        <f>$G$58+10</f>
        <v>260</v>
      </c>
      <c r="F115" s="104" t="s">
        <v>60</v>
      </c>
    </row>
    <row r="116" spans="1:9" ht="15" customHeight="1">
      <c r="B116" s="176"/>
    </row>
    <row r="117" spans="1:9" ht="34">
      <c r="A117" s="176"/>
      <c r="B117" s="179" t="s">
        <v>106</v>
      </c>
      <c r="C117" s="140">
        <f>E117-8</f>
        <v>175</v>
      </c>
      <c r="D117" s="140">
        <f>E117-4</f>
        <v>179</v>
      </c>
      <c r="E117" s="140">
        <f>$G$53</f>
        <v>183</v>
      </c>
      <c r="F117" s="140">
        <f>E117+4</f>
        <v>187</v>
      </c>
      <c r="G117" s="140">
        <f>F117+4</f>
        <v>191</v>
      </c>
      <c r="H117" s="140">
        <f>G117+4</f>
        <v>195</v>
      </c>
    </row>
    <row r="118" spans="1:9">
      <c r="B118" s="142">
        <f>B120-0.1</f>
        <v>0.62634329839285696</v>
      </c>
      <c r="C118" s="103">
        <f>(($E$53*C117)-($E$54/100*$E$53*C117))-($E$58*$E$115+(B118*100*($E$53-$E$58)))</f>
        <v>167.05969112499997</v>
      </c>
      <c r="D118" s="103">
        <f>(($E$53*D117)-($E$54/100*$E$53*D117))-($E$58*$E$115+(B118*100*($E$53-$E$58)))</f>
        <v>222.49969112500003</v>
      </c>
      <c r="E118" s="103">
        <f>(($E$53*E117)-($E$54/100*$E$53*E117))-($E$58*$E$115+(B118*100*($E$53-$E$58)))</f>
        <v>277.93969112500008</v>
      </c>
      <c r="F118" s="103">
        <f>(($E$53*F117)-($E$54/100*$E$53*F117))-($E$58*$E$115+(B118*100*($E$53-$E$58)))</f>
        <v>333.37969112500014</v>
      </c>
      <c r="G118" s="103">
        <f>(($E$53*G117)-($E$54/100*$E$53*G117))-($E$58*$E$115+(B118*100*($E$53-$E$58)))</f>
        <v>388.81969112500019</v>
      </c>
      <c r="H118" s="103">
        <f>(($E$53*H117)-($E$54/100*$E$53*H117))-($E$58*$E$115+(B118*100*($E$53-$E$58)))</f>
        <v>444.25969112499979</v>
      </c>
    </row>
    <row r="119" spans="1:9" ht="17" thickBot="1">
      <c r="B119" s="142">
        <f>B120-0.05</f>
        <v>0.6763432983928569</v>
      </c>
      <c r="C119" s="103">
        <f>(($E$53*C117)-($E$54/100*$E$53*C117))-($E$58*$E$115+(B119*100*($E$53-$E$58)))</f>
        <v>132.05969112500043</v>
      </c>
      <c r="D119" s="103">
        <f>(($E$53*D117)-($E$54/100*$E$53*D117))-($E$58*$E$115+(B119*100*($E$53-$E$58)))</f>
        <v>187.49969112500048</v>
      </c>
      <c r="E119" s="103">
        <f>(($E$53*E117)-($E$54/100*$E$53*E117))-($E$58*$E$115+(B119*100*($E$53-$E$58)))</f>
        <v>242.93969112500054</v>
      </c>
      <c r="F119" s="103">
        <f>(($E$53*F117)-($E$54/100*$E$53*F117))-($E$58*$E$115+(B119*100*($E$53-$E$58)))</f>
        <v>298.37969112500059</v>
      </c>
      <c r="G119" s="103">
        <f>(($E$53*G117)-($E$54/100*$E$53*G117))-($E$58*$E$115+(B119*100*($E$53-$E$58)))</f>
        <v>353.81969112500065</v>
      </c>
      <c r="H119" s="103">
        <f>(($E$53*H117)-($E$54/100*$E$53*H117))-($E$58*$E$115+(B119*100*($E$53-$E$58)))</f>
        <v>409.25969112500024</v>
      </c>
    </row>
    <row r="120" spans="1:9" ht="17" thickBot="1">
      <c r="B120" s="142">
        <f>$G$91/100</f>
        <v>0.72634329839285694</v>
      </c>
      <c r="C120" s="103">
        <f>(($E$53*C117)-($E$54/100*$E$53*C117))-($E$58*$E$115+(B120*100*($E$53-$E$58)))</f>
        <v>97.059691124999972</v>
      </c>
      <c r="D120" s="103">
        <f>(($E$53*D117)-($E$54/100*$E$53*D117))-($E$58*$E$115+(B120*100*($E$53-$E$58)))</f>
        <v>152.49969112500003</v>
      </c>
      <c r="E120" s="106">
        <f>(($E$53*E117)-($E$54/100*$E$53*E117))-($E$58*$E$115+(B120*100*($E$53-$E$58)))</f>
        <v>207.93969112500008</v>
      </c>
      <c r="F120" s="103">
        <f>(($E$53*F117)-($E$54/100*$E$53*F117))-($E$58*$E$115+(B120*100*($E$53-$E$58)))</f>
        <v>263.37969112500014</v>
      </c>
      <c r="G120" s="103">
        <f>(($E$53*G117)-($E$54/100*$E$53*G117))-($E$58*$E$115+(B120*100*($E$53-$E$58)))</f>
        <v>318.81969112500019</v>
      </c>
      <c r="H120" s="103">
        <f>(($E$53*H117)-($E$54/100*$E$53*H117))-($E$58*$E$115+(B120*100*($E$53-$E$58)))</f>
        <v>374.25969112499979</v>
      </c>
    </row>
    <row r="121" spans="1:9">
      <c r="B121" s="142">
        <f>B120+0.05</f>
        <v>0.77634329839285698</v>
      </c>
      <c r="C121" s="103">
        <f>(($E$53*C117)-($E$54/100*$E$53*C117))-($E$58*$E$115+(B121*100*($E$53-$E$58)))</f>
        <v>62.059691124999972</v>
      </c>
      <c r="D121" s="103">
        <f>(($E$53*D117)-($E$54/100*$E$53*D117))-($E$58*$E$115+(B121*100*($E$53-$E$58)))</f>
        <v>117.49969112500003</v>
      </c>
      <c r="E121" s="103">
        <f>(($E$53*E117)-($E$54/100*$E$53*E117))-($E$58*$E$115+(B121*100*($E$53-$E$58)))</f>
        <v>172.93969112500008</v>
      </c>
      <c r="F121" s="103">
        <f>(($E$53*F117)-($E$54/100*$E$53*F117))-($E$58*$E$115+(B121*100*($E$53-$E$58)))</f>
        <v>228.37969112500014</v>
      </c>
      <c r="G121" s="103">
        <f>(($E$53*G117)-($E$54/100*$E$53*G117))-($E$58*$E$115+(B121*100*($E$53-$E$58)))</f>
        <v>283.81969112500019</v>
      </c>
      <c r="H121" s="103">
        <f>(($E$53*H117)-($E$54/100*$E$53*H117))-($E$58*$E$115+(B121*100*($E$53-$E$58)))</f>
        <v>339.25969112499979</v>
      </c>
    </row>
    <row r="122" spans="1:9">
      <c r="B122" s="142">
        <f>B120+0.1</f>
        <v>0.82634329839285692</v>
      </c>
      <c r="C122" s="103">
        <f>(($E$53*C117)-($E$54/100*$E$53*C117))-($E$58*$E$115+(B122*100*($E$53-$E$58)))</f>
        <v>27.059691124999972</v>
      </c>
      <c r="D122" s="103">
        <f>(($E$53*D117)-($E$54/100*$E$53*D117))-($E$58*$E$115+(B122*100*($E$53-$E$58)))</f>
        <v>82.499691125000027</v>
      </c>
      <c r="E122" s="103">
        <f>(($E$53*E117)-($E$54/100*$E$53*E117))-($E$58*$E$115+(B122*100*($E$53-$E$58)))</f>
        <v>137.93969112500008</v>
      </c>
      <c r="F122" s="103">
        <f>(($E$53*F117)-($E$54/100*$E$53*F117))-($E$58*$E$115+(B122*100*($E$53-$E$58)))</f>
        <v>193.37969112500014</v>
      </c>
      <c r="G122" s="103">
        <f>(($E$53*G117)-($E$54/100*$E$53*G117))-($E$58*$E$115+(B122*100*($E$53-$E$58)))</f>
        <v>248.81969112500019</v>
      </c>
      <c r="H122" s="103">
        <f>(($E$53*H117)-($E$54/100*$E$53*H117))-($E$58*$E$115+(B122*100*($E$53-$E$58)))</f>
        <v>304.25969112499979</v>
      </c>
    </row>
    <row r="124" spans="1:9">
      <c r="D124" s="23"/>
      <c r="G124" s="43"/>
    </row>
    <row r="125" spans="1:9">
      <c r="A125" s="5"/>
      <c r="B125" s="5"/>
      <c r="C125" s="5"/>
      <c r="D125" s="5"/>
      <c r="E125" s="5"/>
      <c r="F125" s="5"/>
      <c r="G125" s="5"/>
      <c r="H125" s="5"/>
      <c r="I125" s="5"/>
    </row>
    <row r="126" spans="1:9">
      <c r="A126" s="5"/>
      <c r="B126" s="5"/>
      <c r="C126" s="5"/>
      <c r="D126" s="5"/>
      <c r="E126" s="5"/>
      <c r="F126" s="5"/>
      <c r="G126" s="5"/>
      <c r="H126" s="5"/>
      <c r="I126" s="5"/>
    </row>
    <row r="127" spans="1:9">
      <c r="A127" s="125"/>
      <c r="B127" s="125"/>
      <c r="C127" s="125"/>
      <c r="D127" s="125"/>
      <c r="E127" s="125"/>
      <c r="F127" s="125"/>
      <c r="G127" s="125"/>
      <c r="H127" s="125"/>
      <c r="I127" s="125"/>
    </row>
    <row r="128" spans="1:9">
      <c r="A128" s="125"/>
      <c r="B128" s="144"/>
      <c r="C128" s="144"/>
      <c r="D128" s="144"/>
      <c r="E128" s="144"/>
      <c r="F128" s="144"/>
      <c r="G128" s="144"/>
      <c r="H128" s="144"/>
      <c r="I128" s="144"/>
    </row>
    <row r="129" spans="1:9">
      <c r="G129" s="43"/>
    </row>
    <row r="130" spans="1:9">
      <c r="A130" s="5"/>
      <c r="B130" s="5"/>
      <c r="C130" s="5"/>
      <c r="D130" s="5"/>
      <c r="E130" s="5"/>
      <c r="F130" s="5"/>
      <c r="G130" s="5"/>
      <c r="H130" s="5"/>
      <c r="I130" s="5"/>
    </row>
    <row r="131" spans="1:9">
      <c r="A131" s="5"/>
      <c r="B131" s="5"/>
      <c r="C131" s="5"/>
      <c r="D131" s="5"/>
      <c r="E131" s="5"/>
      <c r="F131" s="5"/>
      <c r="G131" s="5"/>
      <c r="H131" s="5"/>
      <c r="I131" s="5"/>
    </row>
    <row r="132" spans="1:9">
      <c r="A132" s="23"/>
    </row>
    <row r="143" spans="1:9">
      <c r="A143" s="23"/>
    </row>
    <row r="144" spans="1:9">
      <c r="A144" s="23"/>
    </row>
    <row r="146" spans="1:1">
      <c r="A146" s="23"/>
    </row>
    <row r="147" spans="1:1">
      <c r="A147" s="23"/>
    </row>
    <row r="149" spans="1:1">
      <c r="A149" s="23"/>
    </row>
    <row r="150" spans="1:1">
      <c r="A150" s="23"/>
    </row>
    <row r="152" spans="1:1">
      <c r="A152" s="23"/>
    </row>
    <row r="153" spans="1:1">
      <c r="A153" s="23"/>
    </row>
    <row r="155" spans="1:1">
      <c r="A155" s="23"/>
    </row>
    <row r="156" spans="1:1">
      <c r="A156" s="23"/>
    </row>
    <row r="158" spans="1:1">
      <c r="A158" s="23"/>
    </row>
    <row r="159" spans="1:1">
      <c r="A159" s="23"/>
    </row>
    <row r="160" spans="1:1">
      <c r="A160" s="23"/>
    </row>
  </sheetData>
  <sheetProtection algorithmName="SHA-512" hashValue="c7JjMc/707NHMeqap6bF1rCFTqYZuh1c6CbiPSo7V1H2xdmCL+nx2Etr7AFQ/J0tW21Kg8b0ed0wHFqL5OC9kA==" saltValue="FcUWJSUK+c+IQLsuSjuV/A==" spinCount="100000" sheet="1" objects="1" scenarios="1"/>
  <phoneticPr fontId="2" type="noConversion"/>
  <conditionalFormatting sqref="C98:H102 C108:H112">
    <cfRule type="colorScale" priority="4">
      <colorScale>
        <cfvo type="num" val="-10"/>
        <cfvo type="num" val="20"/>
        <cfvo type="num" val="50"/>
        <color rgb="FFF8696B"/>
        <color rgb="FFFFEB84"/>
        <color rgb="FF63BE7B"/>
      </colorScale>
    </cfRule>
  </conditionalFormatting>
  <conditionalFormatting sqref="C118:H122">
    <cfRule type="colorScale" priority="1">
      <colorScale>
        <cfvo type="num" val="-10"/>
        <cfvo type="num" val="20"/>
        <cfvo type="num" val="50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1">
    <cfRule type="iconSet" priority="5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A44"/>
    <pageSetUpPr fitToPage="1"/>
  </sheetPr>
  <dimension ref="A2:N151"/>
  <sheetViews>
    <sheetView topLeftCell="A22" workbookViewId="0">
      <selection activeCell="I61" sqref="I61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0" width="2.33203125" customWidth="1"/>
    <col min="11" max="12" width="10.6640625" style="4" customWidth="1"/>
    <col min="13" max="13" width="10.83203125" style="4" customWidth="1"/>
    <col min="14" max="17" width="10.6640625" style="4" customWidth="1"/>
    <col min="18" max="16384" width="17.1640625" style="4"/>
  </cols>
  <sheetData>
    <row r="2" spans="1:11" ht="20" customHeight="1">
      <c r="A2" s="189" t="s">
        <v>309</v>
      </c>
      <c r="B2" s="186"/>
      <c r="C2" s="186"/>
      <c r="D2" s="186"/>
      <c r="E2" s="186"/>
      <c r="F2" s="186"/>
    </row>
    <row r="3" spans="1:11" ht="20" customHeight="1">
      <c r="A3" s="189" t="s">
        <v>361</v>
      </c>
      <c r="B3" s="186"/>
      <c r="C3" s="186"/>
      <c r="D3" s="186"/>
      <c r="E3" s="186"/>
      <c r="F3" s="186"/>
    </row>
    <row r="4" spans="1:11" ht="16" customHeight="1">
      <c r="A4" s="185"/>
      <c r="B4" s="185"/>
      <c r="C4" s="185"/>
      <c r="D4" s="185"/>
      <c r="E4" s="185"/>
      <c r="F4" s="185"/>
    </row>
    <row r="5" spans="1:11" ht="16" customHeight="1">
      <c r="A5" s="185"/>
      <c r="B5" s="185"/>
      <c r="C5" s="185"/>
      <c r="D5" s="185"/>
      <c r="E5" s="185"/>
      <c r="F5" s="185"/>
    </row>
    <row r="6" spans="1:11" ht="16" customHeight="1">
      <c r="A6" s="185"/>
      <c r="B6" s="185"/>
      <c r="C6" s="185"/>
      <c r="D6" s="185"/>
      <c r="E6" s="185"/>
      <c r="F6" s="185"/>
    </row>
    <row r="7" spans="1:11">
      <c r="A7" s="175">
        <f>+'Step 1 - Feed Cost Input Sheet '!F23</f>
        <v>46029</v>
      </c>
      <c r="B7" s="175"/>
    </row>
    <row r="9" spans="1:11" ht="17" thickBot="1">
      <c r="A9" s="26" t="s">
        <v>281</v>
      </c>
    </row>
    <row r="10" spans="1:11" s="27" customFormat="1" ht="17" thickBot="1">
      <c r="A10" s="24" t="s">
        <v>0</v>
      </c>
      <c r="B10" s="98"/>
      <c r="C10" s="98"/>
      <c r="D10" s="24" t="s">
        <v>1</v>
      </c>
      <c r="E10" s="98"/>
      <c r="F10" s="24" t="s">
        <v>0</v>
      </c>
      <c r="G10" s="98"/>
      <c r="H10" s="98"/>
      <c r="I10" s="24" t="s">
        <v>303</v>
      </c>
      <c r="J10"/>
    </row>
    <row r="11" spans="1:11">
      <c r="A11" s="26" t="s">
        <v>3</v>
      </c>
      <c r="E11" s="28" t="s">
        <v>4</v>
      </c>
      <c r="F11" s="26" t="s">
        <v>9</v>
      </c>
    </row>
    <row r="12" spans="1:11">
      <c r="A12" s="23" t="s">
        <v>294</v>
      </c>
      <c r="D12" s="12">
        <v>11</v>
      </c>
      <c r="E12" s="28" t="s">
        <v>4</v>
      </c>
      <c r="F12" s="23" t="s">
        <v>85</v>
      </c>
      <c r="I12" s="12">
        <v>9</v>
      </c>
      <c r="K12" s="153" t="s">
        <v>5</v>
      </c>
    </row>
    <row r="13" spans="1:11">
      <c r="A13" s="23" t="s">
        <v>295</v>
      </c>
      <c r="D13" s="150">
        <v>200</v>
      </c>
      <c r="E13" s="28" t="s">
        <v>4</v>
      </c>
      <c r="F13" s="23" t="s">
        <v>86</v>
      </c>
      <c r="I13" s="150">
        <v>8</v>
      </c>
      <c r="K13" s="153" t="s">
        <v>6</v>
      </c>
    </row>
    <row r="14" spans="1:11">
      <c r="A14" s="23" t="s">
        <v>296</v>
      </c>
      <c r="D14" s="12">
        <v>1</v>
      </c>
      <c r="E14" s="28" t="s">
        <v>4</v>
      </c>
      <c r="F14" s="23" t="s">
        <v>87</v>
      </c>
      <c r="I14" s="150">
        <v>125</v>
      </c>
      <c r="K14" s="153" t="s">
        <v>7</v>
      </c>
    </row>
    <row r="15" spans="1:11">
      <c r="D15" s="99"/>
      <c r="E15" s="28" t="s">
        <v>4</v>
      </c>
      <c r="I15" s="99"/>
      <c r="K15" s="153" t="s">
        <v>8</v>
      </c>
    </row>
    <row r="16" spans="1:11">
      <c r="A16" s="26" t="s">
        <v>38</v>
      </c>
      <c r="D16" s="99"/>
      <c r="E16" s="28" t="s">
        <v>4</v>
      </c>
      <c r="F16" s="26" t="s">
        <v>41</v>
      </c>
      <c r="I16" s="99"/>
    </row>
    <row r="17" spans="1:14">
      <c r="A17" s="23" t="s">
        <v>297</v>
      </c>
      <c r="D17" s="12">
        <v>7</v>
      </c>
      <c r="E17" s="28" t="s">
        <v>4</v>
      </c>
      <c r="F17" s="23" t="s">
        <v>304</v>
      </c>
      <c r="I17" s="124">
        <v>4</v>
      </c>
      <c r="K17" s="4">
        <f>+I17*30</f>
        <v>120</v>
      </c>
      <c r="L17" s="4" t="s">
        <v>116</v>
      </c>
    </row>
    <row r="18" spans="1:14">
      <c r="A18" s="23" t="s">
        <v>298</v>
      </c>
      <c r="D18" s="150">
        <v>250</v>
      </c>
      <c r="E18" s="28" t="s">
        <v>4</v>
      </c>
      <c r="F18" s="4" t="s">
        <v>250</v>
      </c>
      <c r="I18" s="12">
        <v>0</v>
      </c>
    </row>
    <row r="19" spans="1:14">
      <c r="D19" s="99"/>
      <c r="E19" s="28" t="s">
        <v>4</v>
      </c>
    </row>
    <row r="20" spans="1:14" ht="17" thickBot="1">
      <c r="A20" s="26" t="s">
        <v>39</v>
      </c>
      <c r="D20" s="99"/>
      <c r="E20" s="28" t="s">
        <v>4</v>
      </c>
      <c r="F20" s="27" t="s">
        <v>117</v>
      </c>
      <c r="K20" s="100"/>
    </row>
    <row r="21" spans="1:14" ht="18" customHeight="1" thickTop="1" thickBot="1">
      <c r="A21" s="23" t="s">
        <v>284</v>
      </c>
      <c r="D21" s="150">
        <v>25</v>
      </c>
      <c r="E21" s="28" t="s">
        <v>4</v>
      </c>
      <c r="F21" s="4" t="s">
        <v>147</v>
      </c>
      <c r="I21" s="72">
        <v>0</v>
      </c>
      <c r="K21" s="173" t="s">
        <v>355</v>
      </c>
      <c r="L21" s="173"/>
      <c r="M21" s="173"/>
      <c r="N21" s="173"/>
    </row>
    <row r="22" spans="1:14" ht="17" thickTop="1">
      <c r="A22" s="23" t="s">
        <v>285</v>
      </c>
      <c r="D22" s="150">
        <v>7</v>
      </c>
      <c r="E22" s="28" t="s">
        <v>4</v>
      </c>
      <c r="F22" s="4" t="s">
        <v>119</v>
      </c>
      <c r="I22" s="73">
        <v>90</v>
      </c>
      <c r="K22" s="173" t="s">
        <v>362</v>
      </c>
      <c r="L22" s="173"/>
      <c r="M22" s="173"/>
      <c r="N22" s="173"/>
    </row>
    <row r="23" spans="1:14" ht="17" thickBot="1">
      <c r="A23" s="23" t="s">
        <v>286</v>
      </c>
      <c r="D23" s="150">
        <v>20.25</v>
      </c>
      <c r="E23" s="28" t="s">
        <v>4</v>
      </c>
      <c r="F23" s="4" t="s">
        <v>118</v>
      </c>
      <c r="I23" s="67">
        <v>3</v>
      </c>
      <c r="K23" s="173" t="s">
        <v>363</v>
      </c>
      <c r="L23" s="173"/>
      <c r="M23" s="173"/>
      <c r="N23" s="173"/>
    </row>
    <row r="24" spans="1:14" ht="18" thickTop="1" thickBot="1">
      <c r="A24" s="4" t="s">
        <v>40</v>
      </c>
      <c r="D24" s="150">
        <v>0</v>
      </c>
      <c r="E24" s="28" t="s">
        <v>4</v>
      </c>
      <c r="F24" s="4" t="s">
        <v>120</v>
      </c>
      <c r="I24" s="74">
        <v>10</v>
      </c>
      <c r="K24" s="173"/>
      <c r="L24" s="173"/>
      <c r="M24" s="173"/>
      <c r="N24" s="173"/>
    </row>
    <row r="25" spans="1:14" ht="15" customHeight="1" thickTop="1">
      <c r="A25" s="8" t="s">
        <v>67</v>
      </c>
      <c r="B25" s="8"/>
      <c r="C25" s="8"/>
      <c r="D25" s="155">
        <v>0</v>
      </c>
      <c r="E25" s="8"/>
      <c r="F25" s="8" t="s">
        <v>122</v>
      </c>
      <c r="G25" s="8"/>
      <c r="H25" s="8"/>
      <c r="I25" s="75">
        <v>25</v>
      </c>
    </row>
    <row r="26" spans="1:14" ht="15" customHeight="1">
      <c r="D26" s="152"/>
    </row>
    <row r="27" spans="1:14" ht="15" customHeight="1">
      <c r="D27" s="152"/>
      <c r="G27" s="5"/>
    </row>
    <row r="28" spans="1:14" ht="15" customHeight="1">
      <c r="A28" s="27" t="s">
        <v>69</v>
      </c>
      <c r="D28" s="28"/>
      <c r="E28" s="23"/>
      <c r="G28" s="5"/>
      <c r="H28" s="7"/>
    </row>
    <row r="29" spans="1:14" ht="68">
      <c r="C29" s="8" t="s">
        <v>70</v>
      </c>
      <c r="D29" s="8"/>
      <c r="E29" s="8"/>
      <c r="F29" s="5" t="s">
        <v>124</v>
      </c>
      <c r="G29" s="151" t="s">
        <v>113</v>
      </c>
      <c r="H29" s="182" t="s">
        <v>349</v>
      </c>
      <c r="I29" s="8" t="s">
        <v>76</v>
      </c>
    </row>
    <row r="30" spans="1:14" ht="16" customHeight="1">
      <c r="C30" s="27" t="str">
        <f>+'Step 1 - Feed Cost Input Sheet '!A24</f>
        <v>20% Liquid</v>
      </c>
      <c r="D30" s="80"/>
      <c r="E30" s="80"/>
      <c r="F30" s="12">
        <v>1.33</v>
      </c>
      <c r="G30" s="4">
        <f>+(F30/100)*$K$17</f>
        <v>1.5960000000000001</v>
      </c>
      <c r="H30" s="145">
        <f>+'Step 1 - Feed Cost Input Sheet '!B24</f>
        <v>15</v>
      </c>
      <c r="I30" s="80" t="s">
        <v>71</v>
      </c>
      <c r="K30" s="29" t="s">
        <v>364</v>
      </c>
      <c r="L30" s="29"/>
      <c r="M30" s="29"/>
      <c r="N30" s="29"/>
    </row>
    <row r="31" spans="1:14">
      <c r="C31" s="27" t="str">
        <f>+'Step 1 - Feed Cost Input Sheet '!A25</f>
        <v>Mineral &amp; Salt</v>
      </c>
      <c r="D31" s="80"/>
      <c r="E31" s="80"/>
      <c r="F31" s="12">
        <v>0</v>
      </c>
      <c r="G31" s="4">
        <f>+(F31/100)*$K$17</f>
        <v>0</v>
      </c>
      <c r="H31" s="145">
        <f>+'Step 1 - Feed Cost Input Sheet '!B25</f>
        <v>22</v>
      </c>
      <c r="I31" s="80" t="s">
        <v>71</v>
      </c>
      <c r="K31" s="29" t="s">
        <v>365</v>
      </c>
      <c r="L31" s="29"/>
      <c r="M31" s="29"/>
      <c r="N31" s="29"/>
    </row>
    <row r="32" spans="1:14">
      <c r="C32" s="27" t="str">
        <f>+'Step 1 - Feed Cost Input Sheet '!A26</f>
        <v>Dry Corn</v>
      </c>
      <c r="D32" s="80"/>
      <c r="E32" s="80"/>
      <c r="F32" s="12">
        <v>6.77</v>
      </c>
      <c r="G32" s="4">
        <f>+(F32/56)*$K$17</f>
        <v>14.507142857142856</v>
      </c>
      <c r="H32" s="145">
        <f>+'Step 1 - Feed Cost Input Sheet '!B26</f>
        <v>3.25</v>
      </c>
      <c r="I32" s="80" t="s">
        <v>72</v>
      </c>
      <c r="K32" s="29" t="s">
        <v>366</v>
      </c>
      <c r="L32" s="29"/>
      <c r="M32" s="29"/>
      <c r="N32" s="29"/>
    </row>
    <row r="33" spans="1:14">
      <c r="C33" s="27" t="str">
        <f>+'Step 1 - Feed Cost Input Sheet '!A27</f>
        <v>High Moisture Corn</v>
      </c>
      <c r="D33" s="80"/>
      <c r="E33" s="80"/>
      <c r="F33" s="12">
        <v>3.48</v>
      </c>
      <c r="G33" s="4">
        <f>+(F33/56)*$K$17</f>
        <v>7.4571428571428573</v>
      </c>
      <c r="H33" s="145">
        <f>+'Step 1 - Feed Cost Input Sheet '!B27</f>
        <v>2.25</v>
      </c>
      <c r="I33" s="80" t="s">
        <v>72</v>
      </c>
      <c r="K33" s="29" t="s">
        <v>367</v>
      </c>
      <c r="L33" s="29"/>
      <c r="M33" s="29"/>
      <c r="N33" s="29"/>
    </row>
    <row r="34" spans="1:14">
      <c r="C34" s="27" t="str">
        <f>+'Step 1 - Feed Cost Input Sheet '!A28</f>
        <v>Hay</v>
      </c>
      <c r="D34" s="80"/>
      <c r="E34" s="80"/>
      <c r="F34" s="12">
        <v>0.56999999999999995</v>
      </c>
      <c r="G34" s="4">
        <f>+(F34/2000)*$K$17</f>
        <v>3.4200000000000001E-2</v>
      </c>
      <c r="H34" s="145">
        <f>+'Step 1 - Feed Cost Input Sheet '!B28</f>
        <v>120</v>
      </c>
      <c r="I34" s="80" t="s">
        <v>73</v>
      </c>
    </row>
    <row r="35" spans="1:14">
      <c r="C35" s="27" t="str">
        <f>+'Step 1 - Feed Cost Input Sheet '!A29</f>
        <v>Alfalfa</v>
      </c>
      <c r="D35" s="80"/>
      <c r="E35" s="80"/>
      <c r="F35" s="12">
        <v>0</v>
      </c>
      <c r="G35" s="4">
        <f>+(F35/2000)*$K$17</f>
        <v>0</v>
      </c>
      <c r="H35" s="145">
        <f>+'Step 1 - Feed Cost Input Sheet '!B29</f>
        <v>150</v>
      </c>
      <c r="I35" s="80" t="s">
        <v>73</v>
      </c>
    </row>
    <row r="36" spans="1:14">
      <c r="C36" s="27" t="str">
        <f>+'Step 1 - Feed Cost Input Sheet '!A30</f>
        <v>Silage</v>
      </c>
      <c r="D36" s="80"/>
      <c r="E36" s="80"/>
      <c r="F36" s="12">
        <v>1.83</v>
      </c>
      <c r="G36" s="4">
        <f>+(F36/2000)*$K$17</f>
        <v>0.10980000000000001</v>
      </c>
      <c r="H36" s="145">
        <f>+'Step 1 - Feed Cost Input Sheet '!B30</f>
        <v>32</v>
      </c>
      <c r="I36" s="80" t="s">
        <v>73</v>
      </c>
    </row>
    <row r="37" spans="1:14">
      <c r="C37" s="27" t="str">
        <f>+'Step 1 - Feed Cost Input Sheet '!A31</f>
        <v>Corn Stover</v>
      </c>
      <c r="D37" s="80"/>
      <c r="E37" s="80"/>
      <c r="F37" s="12">
        <v>2.0499999999999998</v>
      </c>
      <c r="G37" s="4">
        <f>+(F37/2000)*$K$17</f>
        <v>0.12299999999999998</v>
      </c>
      <c r="H37" s="145">
        <f>+'Step 1 - Feed Cost Input Sheet '!B31</f>
        <v>50</v>
      </c>
      <c r="I37" s="80" t="s">
        <v>73</v>
      </c>
    </row>
    <row r="38" spans="1:14">
      <c r="C38" s="27" t="str">
        <f>+'Step 1 - Feed Cost Input Sheet '!A32</f>
        <v>Dried Distillers</v>
      </c>
      <c r="D38" s="80"/>
      <c r="E38" s="80"/>
      <c r="F38" s="12">
        <v>1.73</v>
      </c>
      <c r="G38" s="4">
        <f>+(F38/2000)*$K$17</f>
        <v>0.1038</v>
      </c>
      <c r="H38" s="145">
        <f>+'Step 1 - Feed Cost Input Sheet '!B32</f>
        <v>145</v>
      </c>
      <c r="I38" s="80" t="s">
        <v>73</v>
      </c>
    </row>
    <row r="39" spans="1:14">
      <c r="C39" s="27" t="str">
        <f>+'Step 1 - Feed Cost Input Sheet '!A33</f>
        <v>Added Feedstuff #1</v>
      </c>
      <c r="D39" s="80"/>
      <c r="E39" s="80"/>
      <c r="F39" s="12">
        <v>0</v>
      </c>
      <c r="G39" s="4">
        <f t="shared" ref="G39:G42" si="0">+(F39/2000)*$K$17</f>
        <v>0</v>
      </c>
      <c r="H39" s="145">
        <f>+'Step 1 - Feed Cost Input Sheet '!B33</f>
        <v>0</v>
      </c>
      <c r="I39" s="80" t="s">
        <v>73</v>
      </c>
    </row>
    <row r="40" spans="1:14">
      <c r="C40" s="27" t="str">
        <f>+'Step 1 - Feed Cost Input Sheet '!A34</f>
        <v>Added Feedstuff #2</v>
      </c>
      <c r="D40" s="80"/>
      <c r="E40" s="80"/>
      <c r="F40" s="12">
        <v>0</v>
      </c>
      <c r="G40" s="4">
        <f t="shared" si="0"/>
        <v>0</v>
      </c>
      <c r="H40" s="145">
        <f>+'Step 1 - Feed Cost Input Sheet '!B34</f>
        <v>0</v>
      </c>
      <c r="I40" s="80" t="s">
        <v>73</v>
      </c>
    </row>
    <row r="41" spans="1:14">
      <c r="C41" s="27" t="str">
        <f>+'Step 1 - Feed Cost Input Sheet '!A35</f>
        <v>Added Feedstuff #3</v>
      </c>
      <c r="D41" s="80"/>
      <c r="E41" s="80"/>
      <c r="F41" s="12">
        <v>0</v>
      </c>
      <c r="G41" s="4">
        <f t="shared" si="0"/>
        <v>0</v>
      </c>
      <c r="H41" s="145">
        <f>+'Step 1 - Feed Cost Input Sheet '!B35</f>
        <v>0</v>
      </c>
      <c r="I41" s="80" t="s">
        <v>73</v>
      </c>
    </row>
    <row r="42" spans="1:14">
      <c r="C42" s="27" t="str">
        <f>+'Step 1 - Feed Cost Input Sheet '!A36</f>
        <v>Added Feedstuff #4</v>
      </c>
      <c r="D42" s="80"/>
      <c r="E42" s="80"/>
      <c r="F42" s="12">
        <v>0</v>
      </c>
      <c r="G42" s="4">
        <f t="shared" si="0"/>
        <v>0</v>
      </c>
      <c r="H42" s="145">
        <f>+'Step 1 - Feed Cost Input Sheet '!B36</f>
        <v>0</v>
      </c>
      <c r="I42" s="80" t="s">
        <v>73</v>
      </c>
    </row>
    <row r="43" spans="1:14">
      <c r="C43" s="27" t="str">
        <f>+'Step 1 - Feed Cost Input Sheet '!A37</f>
        <v>Pasture</v>
      </c>
      <c r="D43" s="80"/>
      <c r="E43" s="80"/>
      <c r="F43" s="146"/>
      <c r="G43" s="4">
        <f>I18</f>
        <v>0</v>
      </c>
      <c r="H43" s="145">
        <f>+'Step 1 - Feed Cost Input Sheet '!B37</f>
        <v>60</v>
      </c>
      <c r="I43" s="80" t="s">
        <v>153</v>
      </c>
    </row>
    <row r="44" spans="1:14">
      <c r="C44" s="27"/>
      <c r="D44" s="80"/>
      <c r="E44" s="80"/>
      <c r="F44" s="154"/>
      <c r="H44" s="145"/>
      <c r="I44" s="80"/>
    </row>
    <row r="45" spans="1:14" ht="19" customHeight="1">
      <c r="A45" s="189" t="s">
        <v>309</v>
      </c>
      <c r="B45" s="171"/>
      <c r="C45" s="171"/>
      <c r="D45" s="171"/>
      <c r="E45" s="171"/>
      <c r="F45" s="171"/>
      <c r="H45" s="145"/>
      <c r="I45" s="80"/>
    </row>
    <row r="46" spans="1:14" ht="20" customHeight="1">
      <c r="A46" s="189" t="s">
        <v>361</v>
      </c>
      <c r="B46" s="171"/>
      <c r="C46" s="171"/>
      <c r="D46" s="171"/>
      <c r="E46" s="171"/>
      <c r="F46" s="171"/>
      <c r="H46" s="145"/>
      <c r="I46" s="80"/>
    </row>
    <row r="47" spans="1:14" ht="16" customHeight="1">
      <c r="A47" s="170"/>
      <c r="B47" s="170"/>
      <c r="C47" s="170"/>
      <c r="D47" s="170"/>
      <c r="E47" s="170"/>
      <c r="F47" s="170"/>
      <c r="H47" s="145"/>
      <c r="I47" s="80"/>
    </row>
    <row r="48" spans="1:14" ht="16" customHeight="1">
      <c r="A48" s="170"/>
      <c r="B48" s="170"/>
      <c r="C48" s="170"/>
      <c r="D48" s="170"/>
      <c r="E48" s="170"/>
      <c r="F48" s="170"/>
      <c r="H48" s="145"/>
      <c r="I48" s="80"/>
    </row>
    <row r="49" spans="1:9" ht="16" customHeight="1">
      <c r="A49" s="170"/>
      <c r="B49" s="170"/>
      <c r="C49" s="170"/>
      <c r="D49" s="170"/>
      <c r="E49" s="170"/>
      <c r="F49" s="170"/>
      <c r="H49" s="145"/>
      <c r="I49" s="80"/>
    </row>
    <row r="50" spans="1:9">
      <c r="A50" s="175">
        <f>+'Step 1 - Feed Cost Input Sheet '!F23</f>
        <v>46029</v>
      </c>
      <c r="B50" s="175"/>
      <c r="C50" s="27"/>
      <c r="D50" s="80"/>
      <c r="E50" s="80"/>
      <c r="F50" s="154"/>
      <c r="H50" s="145"/>
      <c r="I50" s="80"/>
    </row>
    <row r="51" spans="1:9">
      <c r="A51" s="23" t="s">
        <v>10</v>
      </c>
    </row>
    <row r="52" spans="1:9">
      <c r="A52" s="7" t="s">
        <v>37</v>
      </c>
      <c r="B52" s="96">
        <f>(D12-D17)*100</f>
        <v>400</v>
      </c>
      <c r="C52" s="23" t="s">
        <v>109</v>
      </c>
      <c r="D52" s="97">
        <f>I17</f>
        <v>4</v>
      </c>
      <c r="E52" s="23" t="s">
        <v>176</v>
      </c>
      <c r="F52" s="4">
        <f>B52/(I17*365/12)</f>
        <v>3.2876712328767121</v>
      </c>
      <c r="G52" s="4" t="s">
        <v>177</v>
      </c>
    </row>
    <row r="53" spans="1:9">
      <c r="A53" s="26" t="s">
        <v>11</v>
      </c>
    </row>
    <row r="54" spans="1:9">
      <c r="B54" s="23" t="s">
        <v>42</v>
      </c>
      <c r="E54" s="4">
        <f>D12</f>
        <v>11</v>
      </c>
      <c r="F54" s="11" t="s">
        <v>43</v>
      </c>
      <c r="G54" s="43">
        <f>D13</f>
        <v>200</v>
      </c>
      <c r="I54" s="43">
        <f>E54*G54</f>
        <v>2200</v>
      </c>
    </row>
    <row r="55" spans="1:9" ht="17" thickBot="1">
      <c r="B55" s="23" t="s">
        <v>44</v>
      </c>
      <c r="D55" s="7" t="s">
        <v>29</v>
      </c>
      <c r="E55" s="4">
        <f>D14</f>
        <v>1</v>
      </c>
      <c r="F55" s="23" t="s">
        <v>45</v>
      </c>
      <c r="G55" s="43">
        <f>I54</f>
        <v>2200</v>
      </c>
      <c r="H55" s="104" t="s">
        <v>27</v>
      </c>
      <c r="I55" s="43">
        <f>-E55*G55/100</f>
        <v>-22</v>
      </c>
    </row>
    <row r="56" spans="1:9" ht="17" thickBot="1">
      <c r="D56" s="23" t="s">
        <v>12</v>
      </c>
      <c r="I56" s="111">
        <f>SUM(I54:I55)</f>
        <v>2178</v>
      </c>
    </row>
    <row r="58" spans="1:9">
      <c r="A58" s="26" t="s">
        <v>13</v>
      </c>
    </row>
    <row r="59" spans="1:9">
      <c r="B59" s="23" t="s">
        <v>46</v>
      </c>
      <c r="E59" s="4">
        <f>D17</f>
        <v>7</v>
      </c>
      <c r="F59" s="11" t="s">
        <v>47</v>
      </c>
      <c r="G59" s="43">
        <f>+D18</f>
        <v>250</v>
      </c>
      <c r="I59" s="43">
        <f>E59*G59</f>
        <v>1750</v>
      </c>
    </row>
    <row r="60" spans="1:9">
      <c r="B60" s="23" t="s">
        <v>68</v>
      </c>
      <c r="I60" s="43">
        <f>SUM(H61:H74)</f>
        <v>116.68538571428572</v>
      </c>
    </row>
    <row r="61" spans="1:9">
      <c r="C61" s="23" t="str">
        <f t="shared" ref="C61:C69" si="1">+C30</f>
        <v>20% Liquid</v>
      </c>
      <c r="D61" s="23" t="s">
        <v>14</v>
      </c>
      <c r="E61" s="4">
        <f t="shared" ref="E61:E69" si="2">+G30</f>
        <v>1.5960000000000001</v>
      </c>
      <c r="F61" s="11" t="s">
        <v>15</v>
      </c>
      <c r="G61" s="43">
        <f t="shared" ref="G61:G69" si="3">+H30</f>
        <v>15</v>
      </c>
      <c r="H61" s="43">
        <f>E61*G61</f>
        <v>23.94</v>
      </c>
    </row>
    <row r="62" spans="1:9">
      <c r="C62" s="23" t="str">
        <f t="shared" si="1"/>
        <v>Mineral &amp; Salt</v>
      </c>
      <c r="E62" s="4">
        <f t="shared" si="2"/>
        <v>0</v>
      </c>
      <c r="F62" s="11" t="s">
        <v>15</v>
      </c>
      <c r="G62" s="43">
        <f t="shared" si="3"/>
        <v>22</v>
      </c>
      <c r="H62" s="43">
        <f t="shared" ref="H62:H69" si="4">E62*G62</f>
        <v>0</v>
      </c>
    </row>
    <row r="63" spans="1:9">
      <c r="C63" s="23" t="str">
        <f t="shared" si="1"/>
        <v>Dry Corn</v>
      </c>
      <c r="E63" s="4">
        <f t="shared" si="2"/>
        <v>14.507142857142856</v>
      </c>
      <c r="F63" s="11" t="s">
        <v>49</v>
      </c>
      <c r="G63" s="43">
        <f t="shared" si="3"/>
        <v>3.25</v>
      </c>
      <c r="H63" s="43">
        <f t="shared" si="4"/>
        <v>47.148214285714282</v>
      </c>
    </row>
    <row r="64" spans="1:9">
      <c r="C64" s="23" t="str">
        <f t="shared" si="1"/>
        <v>High Moisture Corn</v>
      </c>
      <c r="E64" s="4">
        <f t="shared" si="2"/>
        <v>7.4571428571428573</v>
      </c>
      <c r="F64" s="11" t="s">
        <v>49</v>
      </c>
      <c r="G64" s="43">
        <f t="shared" si="3"/>
        <v>2.25</v>
      </c>
      <c r="H64" s="43">
        <f t="shared" si="4"/>
        <v>16.778571428571428</v>
      </c>
    </row>
    <row r="65" spans="2:9">
      <c r="C65" s="23" t="str">
        <f t="shared" si="1"/>
        <v>Hay</v>
      </c>
      <c r="E65" s="4">
        <f t="shared" si="2"/>
        <v>3.4200000000000001E-2</v>
      </c>
      <c r="F65" s="11" t="s">
        <v>50</v>
      </c>
      <c r="G65" s="43">
        <f t="shared" si="3"/>
        <v>120</v>
      </c>
      <c r="H65" s="43">
        <f>E65*G65</f>
        <v>4.1040000000000001</v>
      </c>
    </row>
    <row r="66" spans="2:9">
      <c r="C66" s="23" t="str">
        <f t="shared" si="1"/>
        <v>Alfalfa</v>
      </c>
      <c r="E66" s="4">
        <f t="shared" si="2"/>
        <v>0</v>
      </c>
      <c r="F66" s="11" t="s">
        <v>50</v>
      </c>
      <c r="G66" s="43">
        <f t="shared" si="3"/>
        <v>150</v>
      </c>
      <c r="H66" s="43">
        <f t="shared" si="4"/>
        <v>0</v>
      </c>
    </row>
    <row r="67" spans="2:9">
      <c r="C67" s="23" t="str">
        <f t="shared" si="1"/>
        <v>Silage</v>
      </c>
      <c r="E67" s="4">
        <f t="shared" si="2"/>
        <v>0.10980000000000001</v>
      </c>
      <c r="F67" s="11" t="s">
        <v>50</v>
      </c>
      <c r="G67" s="43">
        <f t="shared" si="3"/>
        <v>32</v>
      </c>
      <c r="H67" s="43">
        <f t="shared" si="4"/>
        <v>3.5136000000000003</v>
      </c>
    </row>
    <row r="68" spans="2:9">
      <c r="C68" s="23" t="str">
        <f t="shared" si="1"/>
        <v>Corn Stover</v>
      </c>
      <c r="E68" s="4">
        <f t="shared" si="2"/>
        <v>0.12299999999999998</v>
      </c>
      <c r="F68" s="11" t="s">
        <v>50</v>
      </c>
      <c r="G68" s="43">
        <f t="shared" si="3"/>
        <v>50</v>
      </c>
      <c r="H68" s="43">
        <f t="shared" si="4"/>
        <v>6.1499999999999995</v>
      </c>
    </row>
    <row r="69" spans="2:9">
      <c r="C69" s="23" t="str">
        <f t="shared" si="1"/>
        <v>Dried Distillers</v>
      </c>
      <c r="E69" s="4">
        <f t="shared" si="2"/>
        <v>0.1038</v>
      </c>
      <c r="F69" s="11" t="s">
        <v>50</v>
      </c>
      <c r="G69" s="43">
        <f t="shared" si="3"/>
        <v>145</v>
      </c>
      <c r="H69" s="43">
        <f t="shared" si="4"/>
        <v>15.051</v>
      </c>
    </row>
    <row r="70" spans="2:9">
      <c r="C70" s="23" t="str">
        <f t="shared" ref="C70:C73" si="5">+C39</f>
        <v>Added Feedstuff #1</v>
      </c>
      <c r="E70" s="4">
        <f t="shared" ref="E70:E73" si="6">+G39</f>
        <v>0</v>
      </c>
      <c r="F70" s="11" t="s">
        <v>50</v>
      </c>
      <c r="G70" s="43">
        <f t="shared" ref="G70:G73" si="7">+H39</f>
        <v>0</v>
      </c>
      <c r="H70" s="43">
        <f t="shared" ref="H70:H73" si="8">E70*G70</f>
        <v>0</v>
      </c>
    </row>
    <row r="71" spans="2:9">
      <c r="C71" s="23" t="str">
        <f t="shared" si="5"/>
        <v>Added Feedstuff #2</v>
      </c>
      <c r="E71" s="4">
        <f t="shared" si="6"/>
        <v>0</v>
      </c>
      <c r="F71" s="11" t="s">
        <v>50</v>
      </c>
      <c r="G71" s="43">
        <f t="shared" si="7"/>
        <v>0</v>
      </c>
      <c r="H71" s="43">
        <f t="shared" si="8"/>
        <v>0</v>
      </c>
    </row>
    <row r="72" spans="2:9">
      <c r="C72" s="23" t="str">
        <f t="shared" si="5"/>
        <v>Added Feedstuff #3</v>
      </c>
      <c r="E72" s="4">
        <f t="shared" si="6"/>
        <v>0</v>
      </c>
      <c r="F72" s="11" t="s">
        <v>50</v>
      </c>
      <c r="G72" s="43">
        <f t="shared" si="7"/>
        <v>0</v>
      </c>
      <c r="H72" s="43">
        <f t="shared" si="8"/>
        <v>0</v>
      </c>
    </row>
    <row r="73" spans="2:9">
      <c r="C73" s="23" t="str">
        <f t="shared" si="5"/>
        <v>Added Feedstuff #4</v>
      </c>
      <c r="E73" s="4">
        <f t="shared" si="6"/>
        <v>0</v>
      </c>
      <c r="F73" s="11" t="s">
        <v>50</v>
      </c>
      <c r="G73" s="43">
        <f t="shared" si="7"/>
        <v>0</v>
      </c>
      <c r="H73" s="43">
        <f t="shared" si="8"/>
        <v>0</v>
      </c>
    </row>
    <row r="74" spans="2:9">
      <c r="C74" s="23" t="str">
        <f>+C43</f>
        <v>Pasture</v>
      </c>
      <c r="E74" s="4">
        <f>+I18</f>
        <v>0</v>
      </c>
      <c r="F74" s="11" t="s">
        <v>173</v>
      </c>
      <c r="G74" s="43">
        <f t="shared" ref="G74" si="9">+H43</f>
        <v>60</v>
      </c>
      <c r="H74" s="43">
        <f>(E74*G74)</f>
        <v>0</v>
      </c>
    </row>
    <row r="75" spans="2:9">
      <c r="B75" s="23" t="s">
        <v>16</v>
      </c>
      <c r="I75" s="43">
        <f>D21</f>
        <v>25</v>
      </c>
    </row>
    <row r="76" spans="2:9">
      <c r="B76" s="23" t="s">
        <v>17</v>
      </c>
      <c r="I76" s="43">
        <f>D22</f>
        <v>7</v>
      </c>
    </row>
    <row r="77" spans="2:9">
      <c r="B77" s="23" t="s">
        <v>18</v>
      </c>
      <c r="I77" s="43">
        <f>D23</f>
        <v>20.25</v>
      </c>
    </row>
    <row r="78" spans="2:9">
      <c r="B78" s="23" t="s">
        <v>48</v>
      </c>
      <c r="I78" s="43">
        <f>+D24</f>
        <v>0</v>
      </c>
    </row>
    <row r="79" spans="2:9">
      <c r="B79" s="23" t="s">
        <v>36</v>
      </c>
      <c r="I79" s="43">
        <f>+D25</f>
        <v>0</v>
      </c>
    </row>
    <row r="80" spans="2:9" ht="17" thickBot="1">
      <c r="B80" s="23" t="s">
        <v>172</v>
      </c>
      <c r="I80" s="44">
        <f>+IF(I21=0,(I22/I24*I23/I25),(I21*I22/I25))</f>
        <v>1.08</v>
      </c>
    </row>
    <row r="81" spans="1:9" ht="17" thickBot="1">
      <c r="B81" s="23" t="s">
        <v>14</v>
      </c>
      <c r="D81" s="23" t="s">
        <v>19</v>
      </c>
      <c r="I81" s="147">
        <f>+SUM(I59:I80)</f>
        <v>1920.0153857142857</v>
      </c>
    </row>
    <row r="82" spans="1:9" ht="17" thickBot="1"/>
    <row r="83" spans="1:9" ht="18" thickTop="1" thickBot="1">
      <c r="A83" s="26" t="s">
        <v>20</v>
      </c>
      <c r="I83" s="148">
        <f>I56-I81</f>
        <v>257.98461428571431</v>
      </c>
    </row>
    <row r="84" spans="1:9" ht="17" thickTop="1"/>
    <row r="85" spans="1:9">
      <c r="A85" s="26" t="s">
        <v>21</v>
      </c>
    </row>
    <row r="86" spans="1:9">
      <c r="B86" s="23" t="s">
        <v>22</v>
      </c>
      <c r="G86" s="110">
        <f>I12/100</f>
        <v>0.09</v>
      </c>
    </row>
    <row r="87" spans="1:9">
      <c r="B87" s="23" t="s">
        <v>265</v>
      </c>
      <c r="I87" s="43">
        <f>((I81*I12)*($I$17/12))/100</f>
        <v>57.600461571428568</v>
      </c>
    </row>
    <row r="88" spans="1:9">
      <c r="B88" s="23" t="s">
        <v>24</v>
      </c>
      <c r="I88" s="43">
        <f>I13</f>
        <v>8</v>
      </c>
    </row>
    <row r="89" spans="1:9" ht="17" thickBot="1">
      <c r="B89" s="23" t="s">
        <v>267</v>
      </c>
      <c r="I89" s="43">
        <f>(I81+I14)*0.025</f>
        <v>51.125384642857142</v>
      </c>
    </row>
    <row r="90" spans="1:9" ht="17" thickBot="1">
      <c r="D90" s="4" t="s">
        <v>266</v>
      </c>
      <c r="I90" s="196">
        <f>+SUM(I87:I89)</f>
        <v>116.72584621428571</v>
      </c>
    </row>
    <row r="91" spans="1:9" ht="17" thickBot="1">
      <c r="D91" s="23" t="s">
        <v>25</v>
      </c>
      <c r="I91" s="149">
        <f>I83-SUM(I86:I89)</f>
        <v>141.25876807142862</v>
      </c>
    </row>
    <row r="92" spans="1:9" ht="17" thickTop="1">
      <c r="D92" s="23"/>
      <c r="I92" s="43"/>
    </row>
    <row r="93" spans="1:9">
      <c r="G93" s="7" t="s">
        <v>51</v>
      </c>
      <c r="H93" s="43">
        <f>(I81+I90+I55)/E54</f>
        <v>183.15829381168831</v>
      </c>
      <c r="I93" s="100" t="s">
        <v>103</v>
      </c>
    </row>
    <row r="94" spans="1:9">
      <c r="E94" s="7" t="s">
        <v>52</v>
      </c>
      <c r="F94" s="43">
        <f>D18</f>
        <v>250</v>
      </c>
      <c r="G94" s="23" t="s">
        <v>53</v>
      </c>
    </row>
    <row r="95" spans="1:9">
      <c r="F95" s="7" t="s">
        <v>54</v>
      </c>
      <c r="G95" s="11">
        <f>(SUM(I60:I79)+I90)/(E54-E59)</f>
        <v>71.415307982142849</v>
      </c>
      <c r="H95" s="23" t="s">
        <v>55</v>
      </c>
    </row>
    <row r="96" spans="1:9">
      <c r="G96" s="7" t="s">
        <v>56</v>
      </c>
      <c r="H96" s="43">
        <f>(I56-(SUM(I60:I79)+I90))/E59</f>
        <v>270.33410972448979</v>
      </c>
      <c r="I96" s="100" t="s">
        <v>103</v>
      </c>
    </row>
    <row r="97" spans="1:9">
      <c r="E97" s="7" t="s">
        <v>57</v>
      </c>
      <c r="F97" s="113">
        <f>D13</f>
        <v>200</v>
      </c>
      <c r="G97" s="23" t="s">
        <v>53</v>
      </c>
    </row>
    <row r="99" spans="1:9">
      <c r="A99" s="26" t="s">
        <v>108</v>
      </c>
    </row>
    <row r="100" spans="1:9">
      <c r="C100" s="120"/>
      <c r="D100" s="180" t="s">
        <v>32</v>
      </c>
      <c r="E100" s="180"/>
      <c r="F100" s="180"/>
      <c r="G100" s="180"/>
      <c r="H100" s="180"/>
      <c r="I100" s="180"/>
    </row>
    <row r="101" spans="1:9" ht="51">
      <c r="C101" s="176" t="s">
        <v>368</v>
      </c>
      <c r="D101" s="114">
        <f>G54-8</f>
        <v>192</v>
      </c>
      <c r="E101" s="115">
        <f>G54-4</f>
        <v>196</v>
      </c>
      <c r="F101" s="115">
        <f>G54</f>
        <v>200</v>
      </c>
      <c r="G101" s="115">
        <f>G54+4</f>
        <v>204</v>
      </c>
      <c r="H101" s="115">
        <f>G54+8</f>
        <v>208</v>
      </c>
      <c r="I101" s="115">
        <f>H101+4</f>
        <v>212</v>
      </c>
    </row>
    <row r="102" spans="1:9">
      <c r="C102" s="184">
        <f>G59-10</f>
        <v>240</v>
      </c>
      <c r="D102" s="104">
        <f>(($E$54*D101)-($E$55/100*$E$54*D101))-(($E$59*C102)+SUM($I$60:$I$79)+SUM($I$87:$I$89))</f>
        <v>125.21876807142871</v>
      </c>
      <c r="E102" s="104">
        <f>(($E$54*E101)-($E$55/100*$E$54*E101))-(($E$59*C102)+SUM($I$60:$I$79)+SUM($I$87:$I$89))</f>
        <v>168.77876807142866</v>
      </c>
      <c r="F102" s="104">
        <f>(($E$54*F101)-($E$55/100*$E$54*F101))-(($E$59*C102)+SUM($I$60:$I$79)+SUM($I$87:$I$89))</f>
        <v>212.3387680714286</v>
      </c>
      <c r="G102" s="104">
        <f>(($E$54*G101)-($E$55/100*$E$54*G101))-(($E$59*C102)+SUM($I$60:$I$79)+SUM($I$87:$I$89))</f>
        <v>255.89876807142855</v>
      </c>
      <c r="H102" s="104">
        <f>(($E$54*H101)-($E$55/100*$E$54*H101))-(($E$59*C102)+SUM($I$60:$I$79)+SUM($I$87:$I$89))</f>
        <v>299.45876807142849</v>
      </c>
      <c r="I102" s="104">
        <f>(($E$54*I101)-($E$55/100*$E$54*I101))-(($E$59*C102)+SUM($I$60:$I$79)+SUM($I$87:$I$89))</f>
        <v>343.01876807142844</v>
      </c>
    </row>
    <row r="103" spans="1:9">
      <c r="C103" s="43">
        <f>G59-5</f>
        <v>245</v>
      </c>
      <c r="D103" s="104">
        <f>(($E$54*D101)-($E$55/100*$E$54*D101))-(($E$59*C103)+SUM($I$60:$I$79)+SUM($I$87:$I$89))</f>
        <v>90.218768071428713</v>
      </c>
      <c r="E103" s="104">
        <f>(($E$54*E101)-($E$55/100*$E$54*E101))-(($E$59*C103)+SUM($I$60:$I$79)+SUM($I$87:$I$89))</f>
        <v>133.77876807142866</v>
      </c>
      <c r="F103" s="104">
        <f>(($E$54*F101)-($E$55/100*$E$54*F101))-(($E$59*C103)+SUM($I$60:$I$79)+SUM($I$87:$I$89))</f>
        <v>177.3387680714286</v>
      </c>
      <c r="G103" s="104">
        <f>(($E$54*G101)-($E$55/100*$E$54*G101))-(($E$59*C103)+SUM($I$60:$I$79)+SUM($I$87:$I$89))</f>
        <v>220.89876807142855</v>
      </c>
      <c r="H103" s="104">
        <f>(($E$54*H101)-($E$55/100*$E$54*H101))-(($E$59*C103)+SUM($I$60:$I$79)+SUM($I$87:$I$89))</f>
        <v>264.45876807142849</v>
      </c>
      <c r="I103" s="104">
        <f>(($E$54*I101)-($E$55/100*$E$54*I101))-(($E$59*C103)+SUM($I$60:$I$79)+SUM($I$87:$I$89))</f>
        <v>308.01876807142844</v>
      </c>
    </row>
    <row r="104" spans="1:9">
      <c r="C104" s="43">
        <f>G59</f>
        <v>250</v>
      </c>
      <c r="D104" s="104">
        <f t="shared" ref="D104:I104" si="10">(($E$54*D101)-($E$55/100*$E$54*D101))-(($E$59*$C$104)+SUM($I$60:$I$79)+SUM($I$87:$I$89))</f>
        <v>55.218768071428713</v>
      </c>
      <c r="E104" s="104">
        <f t="shared" si="10"/>
        <v>98.778768071428658</v>
      </c>
      <c r="F104" s="104">
        <f t="shared" si="10"/>
        <v>142.3387680714286</v>
      </c>
      <c r="G104" s="104">
        <f t="shared" si="10"/>
        <v>185.89876807142855</v>
      </c>
      <c r="H104" s="104">
        <f t="shared" si="10"/>
        <v>229.45876807142849</v>
      </c>
      <c r="I104" s="104">
        <f t="shared" si="10"/>
        <v>273.01876807142844</v>
      </c>
    </row>
    <row r="105" spans="1:9">
      <c r="C105" s="43">
        <f>G59+5</f>
        <v>255</v>
      </c>
      <c r="D105" s="104">
        <f t="shared" ref="D105:I105" si="11">(($E$54*D101)-($E$55/100*$E$54*D101))-(($E$59*$C$105)+SUM($I$60:$I$79)+SUM($I$87:$I$89))</f>
        <v>20.218768071428713</v>
      </c>
      <c r="E105" s="104">
        <f t="shared" si="11"/>
        <v>63.778768071428658</v>
      </c>
      <c r="F105" s="104">
        <f t="shared" si="11"/>
        <v>107.3387680714286</v>
      </c>
      <c r="G105" s="104">
        <f t="shared" si="11"/>
        <v>150.89876807142855</v>
      </c>
      <c r="H105" s="104">
        <f t="shared" si="11"/>
        <v>194.45876807142849</v>
      </c>
      <c r="I105" s="104">
        <f t="shared" si="11"/>
        <v>238.01876807142844</v>
      </c>
    </row>
    <row r="106" spans="1:9" ht="15.75" customHeight="1">
      <c r="C106" s="43">
        <f>G59+10</f>
        <v>260</v>
      </c>
      <c r="D106" s="104">
        <f t="shared" ref="D106:I106" si="12">(($E$54*D101)-($E$55/100*$E$54*D101))-(($E$59*$C$106)+SUM($I$60:$I$79)+SUM($I$87:$I$89))</f>
        <v>-14.781231928571287</v>
      </c>
      <c r="E106" s="104">
        <f t="shared" si="12"/>
        <v>28.778768071428658</v>
      </c>
      <c r="F106" s="104">
        <f t="shared" si="12"/>
        <v>72.338768071428603</v>
      </c>
      <c r="G106" s="104">
        <f t="shared" si="12"/>
        <v>115.89876807142855</v>
      </c>
      <c r="H106" s="104">
        <f t="shared" si="12"/>
        <v>159.45876807142849</v>
      </c>
      <c r="I106" s="104">
        <f t="shared" si="12"/>
        <v>203.01876807142844</v>
      </c>
    </row>
    <row r="107" spans="1:9">
      <c r="I107" s="23"/>
    </row>
    <row r="108" spans="1:9">
      <c r="A108" s="116" t="s">
        <v>108</v>
      </c>
      <c r="B108" s="43"/>
      <c r="C108" s="43"/>
      <c r="D108" s="43"/>
      <c r="E108" s="43"/>
      <c r="G108" s="43"/>
      <c r="I108" s="23"/>
    </row>
    <row r="109" spans="1:9">
      <c r="D109" s="162" t="s">
        <v>59</v>
      </c>
      <c r="E109" s="117">
        <f>G59</f>
        <v>250</v>
      </c>
      <c r="F109" s="104" t="s">
        <v>60</v>
      </c>
      <c r="H109" s="43"/>
      <c r="I109" s="104"/>
    </row>
    <row r="110" spans="1:9" ht="51">
      <c r="A110" s="8"/>
      <c r="B110" s="8"/>
      <c r="C110" s="160" t="s">
        <v>106</v>
      </c>
      <c r="D110" s="115">
        <f>G54-8</f>
        <v>192</v>
      </c>
      <c r="E110" s="115">
        <f>G54-4</f>
        <v>196</v>
      </c>
      <c r="F110" s="115">
        <f>G54</f>
        <v>200</v>
      </c>
      <c r="G110" s="115">
        <f>G54+4</f>
        <v>204</v>
      </c>
      <c r="H110" s="115">
        <f>G54+8</f>
        <v>208</v>
      </c>
      <c r="I110" s="115">
        <f>G54+12</f>
        <v>212</v>
      </c>
    </row>
    <row r="111" spans="1:9">
      <c r="C111" s="120">
        <f>G95/100-0.1</f>
        <v>0.61415307982142853</v>
      </c>
      <c r="D111" s="104">
        <f>((E54*(G54-8))-(E55/100*E54*(G54-8)))-(I59+((G95-10)*(E54-E59)))</f>
        <v>95.218768071428713</v>
      </c>
      <c r="E111" s="104">
        <f>((E54*(G54-4))-(E55/100*E54*(G54-4)))-(I59+((G95-10)*(E54-E59)))</f>
        <v>138.77876807142866</v>
      </c>
      <c r="F111" s="104">
        <f>((E54*(G54))-(E55/100*E54*(G54)))-(I59+((G95-10)*(E54-E59)))</f>
        <v>182.3387680714286</v>
      </c>
      <c r="G111" s="104">
        <f>((E54*(G54+4))-(E55/100*E54*(G54+4)))-(I59+((G95-10)*(E54-E59)))</f>
        <v>225.89876807142855</v>
      </c>
      <c r="H111" s="104">
        <f>((E54*(G54+8))-(E55/100*E54*(G54+8)))-(I59+((G95-10)*(E54-E59)))</f>
        <v>269.45876807142849</v>
      </c>
      <c r="I111" s="104">
        <f>((E54*(G54+12))-(E55/100*E54*(G54+12)))-(I59+((G95-10)*(E54-E59)))</f>
        <v>313.01876807142844</v>
      </c>
    </row>
    <row r="112" spans="1:9">
      <c r="C112" s="120">
        <f>G95/100-0.05</f>
        <v>0.66415307982142846</v>
      </c>
      <c r="D112" s="104">
        <f>((E54*(G54-8))-(E55/100*E54*(G54-8)))-(I59+((G95-5)*(E54-E59)))</f>
        <v>75.218768071428713</v>
      </c>
      <c r="E112" s="104">
        <f>((E54*(G54-4))-(E55/100*E54*(G54-4)))-(I59+((G95-5)*(E54-E59)))</f>
        <v>118.77876807142866</v>
      </c>
      <c r="F112" s="104">
        <f>((E54*(G54))-(E55/100*E54*(G54)))-(I59+((G95-5)*(E54-E59)))</f>
        <v>162.3387680714286</v>
      </c>
      <c r="G112" s="104">
        <f>((E54*(G54+4))-(E55/100*E54*(G54+4)))-(I59+((G95-5)*(E54-E59)))</f>
        <v>205.89876807142855</v>
      </c>
      <c r="H112" s="104">
        <f>((E54*(G54+8))-(E55/100*E54*(G54+8)))-(I59+((G95-5)*(E54-E59)))</f>
        <v>249.45876807142849</v>
      </c>
      <c r="I112" s="104">
        <f>((E54*(G54+12))-(E55/100*E54*(G54+12)))-(I59+((G95-5)*(E54-E59)))</f>
        <v>293.01876807142844</v>
      </c>
    </row>
    <row r="113" spans="1:11">
      <c r="C113" s="120">
        <f>G95/100</f>
        <v>0.7141530798214285</v>
      </c>
      <c r="D113" s="104">
        <f>((E54*(G54-8))-(E55/100*E54*(G54-8)))-(I59+(G95*(E54-E59)))</f>
        <v>55.218768071428713</v>
      </c>
      <c r="E113" s="104">
        <f>((E54*(G54-4))-(E55/100*E54*(G54-4)))-(I59+(G95*(E54-E59)))</f>
        <v>98.778768071428658</v>
      </c>
      <c r="F113" s="104">
        <f>((E54*G54)-(E55/100*E54*G54))-(I59+(G95*(E54-E59)))</f>
        <v>142.3387680714286</v>
      </c>
      <c r="G113" s="104">
        <f>((E54*(G54+4))-(E55/100*E54*(G54+4)))-(I59+(G95*(E54-E59)))</f>
        <v>185.89876807142855</v>
      </c>
      <c r="H113" s="104">
        <f>((E54*(G54+8))-(E55/100*E54*(G54+8)))-(I59+(G95*(E54-E59)))</f>
        <v>229.45876807142849</v>
      </c>
      <c r="I113" s="104">
        <f>((E54*(G54+12))-(E55/100*E54*(G54+12)))-(I59+(G95*(E54-E59)))</f>
        <v>273.01876807142844</v>
      </c>
    </row>
    <row r="114" spans="1:11">
      <c r="C114" s="120">
        <f>G95/100+0.05</f>
        <v>0.76415307982142855</v>
      </c>
      <c r="D114" s="104">
        <f>((E54*(G54-8))-(E55/100*E54*(G54-8)))-(I59+((G95+5)*(E54-E59)))</f>
        <v>35.218768071428713</v>
      </c>
      <c r="E114" s="104">
        <f>((E54*(G54-4))-(E55/100*E54*(G54-4)))-(I59+((G95+5)*(E54-E59)))</f>
        <v>78.778768071428658</v>
      </c>
      <c r="F114" s="104">
        <f>((E54*(G54))-(E55/100*E54*(G54)))-(I59+((G95+5)*(E54-E59)))</f>
        <v>122.3387680714286</v>
      </c>
      <c r="G114" s="104">
        <f>((E54*(G54+4))-(E55/100*E54*(G54+4)))-(I59+((G95+5)*(E54-E59)))</f>
        <v>165.89876807142855</v>
      </c>
      <c r="H114" s="104">
        <f>((E54*(G54+8))-(E55/100*E54*(G54+8)))-(I59+((G95+5)*(E54-E59)))</f>
        <v>209.45876807142849</v>
      </c>
      <c r="I114" s="104">
        <f>((E54*(G54+12))-(E55/100*E54*(G54+12)))-(I59+((G95+5)*(E54-E59)))</f>
        <v>253.01876807142844</v>
      </c>
    </row>
    <row r="115" spans="1:11">
      <c r="C115" s="120">
        <f>G95/100+0.1</f>
        <v>0.81415307982142848</v>
      </c>
      <c r="D115" s="104">
        <f>((E54*(G54-8))-(E55/100*E54*(G54-8)))-(I59+((G95+10)*(E54-E59)))</f>
        <v>15.218768071428713</v>
      </c>
      <c r="E115" s="104">
        <f>((E54*(G54-4))-(E55/100*E54*(G54-4)))-(I59+((G95+10)*(E54-E59)))</f>
        <v>58.778768071428658</v>
      </c>
      <c r="F115" s="104">
        <f>((E54*(G54))-(E55/100*E54*(G54)))-(I59+((G95+10)*(E54-E59)))</f>
        <v>102.3387680714286</v>
      </c>
      <c r="G115" s="104">
        <f>((E54*(G54+4))-(E55/100*E54*(G54+4)))-(I59+((G95+10)*(E54-E59)))</f>
        <v>145.89876807142855</v>
      </c>
      <c r="H115" s="104">
        <f>((E54*(G54+8))-(E55/100*E54*(G54+8)))-(I59+((G95+10)*(E54-E59)))</f>
        <v>189.45876807142849</v>
      </c>
      <c r="I115" s="104">
        <f>((E54*(G54+12))-(E55/100*E54*(G54+12)))-(I59+((G95+10)*(E54-E59)))</f>
        <v>233.01876807142844</v>
      </c>
    </row>
    <row r="116" spans="1:11">
      <c r="I116" s="23"/>
    </row>
    <row r="117" spans="1:11">
      <c r="A117" s="116" t="s">
        <v>108</v>
      </c>
      <c r="I117" s="23"/>
    </row>
    <row r="118" spans="1:11">
      <c r="D118" s="162" t="s">
        <v>59</v>
      </c>
      <c r="E118" s="117">
        <f>G59+10</f>
        <v>260</v>
      </c>
      <c r="F118" s="104" t="s">
        <v>60</v>
      </c>
      <c r="H118" s="43"/>
      <c r="I118" s="104"/>
    </row>
    <row r="119" spans="1:11" ht="51">
      <c r="A119" s="8"/>
      <c r="B119" s="8"/>
      <c r="C119" s="187" t="s">
        <v>369</v>
      </c>
      <c r="D119" s="115">
        <f>G54-8</f>
        <v>192</v>
      </c>
      <c r="E119" s="115">
        <f>G54-4</f>
        <v>196</v>
      </c>
      <c r="F119" s="115">
        <f>G54</f>
        <v>200</v>
      </c>
      <c r="G119" s="115">
        <f>G54+4</f>
        <v>204</v>
      </c>
      <c r="H119" s="115">
        <f>G54+8</f>
        <v>208</v>
      </c>
      <c r="I119" s="115">
        <f>G54+12</f>
        <v>212</v>
      </c>
    </row>
    <row r="120" spans="1:11">
      <c r="C120" s="120">
        <f>G95/100-0.1</f>
        <v>0.61415307982142853</v>
      </c>
      <c r="D120" s="104">
        <f>((E54*(G54-8))-(E55/100*E54*(G54-8)))-((E59*(G59+10))+((G95-10)*(E54-E59)))</f>
        <v>25.218768071428713</v>
      </c>
      <c r="E120" s="104">
        <f>((E54*(G54-4))-(E55/100*E54*(G54-4)))-((E59*(G59+10))+((G95-10)*(E54-E59)))</f>
        <v>68.778768071428658</v>
      </c>
      <c r="F120" s="104">
        <f>((E54*(G54))-(E55/100*E54*(G54)))-((E59*(G59+10))+((G95-10)*(E54-E59)))</f>
        <v>112.3387680714286</v>
      </c>
      <c r="G120" s="104">
        <f>((E54*(G54+4))-(E55/100*E54*(G54+4)))-((E59*(G59+10))+((G95-10)*(E54-E59)))</f>
        <v>155.89876807142855</v>
      </c>
      <c r="H120" s="104">
        <f>((E54*(G54+8))-(E55/100*E54*(G54+8)))-((E59*(G59+10))+((G95-10)*(E54-E59)))</f>
        <v>199.45876807142849</v>
      </c>
      <c r="I120" s="104">
        <f>((E54*I119)-(E55/100*E54*I119))-((E59*E118)+(C120*100*(E54-E59)))</f>
        <v>243.01876807142844</v>
      </c>
    </row>
    <row r="121" spans="1:11">
      <c r="C121" s="120">
        <f>G95/100-0.05</f>
        <v>0.66415307982142846</v>
      </c>
      <c r="D121" s="104">
        <f>((E54*(G54-8))-(E55/100*E54*(G54-8)))-((E59*(G59+10))+((G95-5)*(E54-E59)))</f>
        <v>5.2187680714287126</v>
      </c>
      <c r="E121" s="104">
        <f>((E54*(G54-4))-(E55/100*E54*(G54-4)))-((E59*(G59+10))+((G95-5)*(E54-E59)))</f>
        <v>48.778768071428658</v>
      </c>
      <c r="F121" s="104">
        <f>((E54*(G54))-(E55/100*E54*(G54)))-((E59*(G59+10))+((G95-5)*(E54-E59)))</f>
        <v>92.338768071428603</v>
      </c>
      <c r="G121" s="104">
        <f>((E54*(G54+4))-(E55/100*E54*(G54+4)))-((E59*(G59+10))+((G95-5)*(E54-E59)))</f>
        <v>135.89876807142855</v>
      </c>
      <c r="H121" s="104">
        <f>((E54*(G54+8))-(E55/100*E54*(G54+8)))-((E59*(G59+10))+((G95-5)*(E54-E59)))</f>
        <v>179.45876807142849</v>
      </c>
      <c r="I121" s="104">
        <f>((E54*(G54+12))-(E55/100*E54*(G54+12)))-((E59*(G59+10))+((G95-5)*(E54-E59)))</f>
        <v>223.01876807142844</v>
      </c>
    </row>
    <row r="122" spans="1:11">
      <c r="C122" s="120">
        <f>G95/100</f>
        <v>0.7141530798214285</v>
      </c>
      <c r="D122" s="104">
        <f>((E54*(G54-8))-(E55/100*E54*(G54-8)))-((E59*(G59+10))+(G95*(E54-E59)))</f>
        <v>-14.781231928571287</v>
      </c>
      <c r="E122" s="104">
        <f>((E54*(G54-4))-(E55/100*E54*(G54-4)))-((E59*(G59+10))+(G95*(E54-E59)))</f>
        <v>28.778768071428658</v>
      </c>
      <c r="F122" s="104">
        <f>((E54*G54)-(E55/100*E54*G54))-((E59*(G59+10))+(G95*(E54-E59)))</f>
        <v>72.338768071428603</v>
      </c>
      <c r="G122" s="104">
        <f>((E54*(G54+4))-(E55/100*E54*(G54+4)))-((E59*(G59+10))+(G95*(E54-E59)))</f>
        <v>115.89876807142855</v>
      </c>
      <c r="H122" s="104">
        <f>((E54*(G54+8))-(E55/100*E54*(G54+8)))-((E59*(G59+10))+(G95*(E54-E59)))</f>
        <v>159.45876807142849</v>
      </c>
      <c r="I122" s="104">
        <f>((E54*(G54+12))-(E55/100*E54*(G54+12)))-((E59*(G59+10))+(G95*(E54-E59)))</f>
        <v>203.01876807142844</v>
      </c>
    </row>
    <row r="123" spans="1:11">
      <c r="C123" s="120">
        <f>G95/100+0.05</f>
        <v>0.76415307982142855</v>
      </c>
      <c r="D123" s="104">
        <f>((E54*(G54-8))-(E55/100*E54*(G54-8)))-((E59*(G59+10))+((G95+5)*(E54-E59)))</f>
        <v>-34.781231928571287</v>
      </c>
      <c r="E123" s="104">
        <f>((E54*(G54-4))-(E55/100*E54*(G54-4)))-((E59*(G59+10))+((G95+5)*(E54-E59)))</f>
        <v>8.778768071428658</v>
      </c>
      <c r="F123" s="104">
        <f>((E54*(G54))-(E55/100*E54*(G54)))-((E59*(G59+10))+((G95+5)*(E54-E59)))</f>
        <v>52.338768071428603</v>
      </c>
      <c r="G123" s="104">
        <f>((E54*(G54+4))-(E55/100*E54*(G54+4)))-((E59*(G59+10))+((G95+5)*(E54-E59)))</f>
        <v>95.898768071428549</v>
      </c>
      <c r="H123" s="104">
        <f>((E54*(G54+8))-(E55/100*E54*(G54+8)))-((E59*(G59+10))+((G95+5)*(E54-E59)))</f>
        <v>139.45876807142849</v>
      </c>
      <c r="I123" s="104">
        <f>((E54*(G54+12))-(E55/100*E54*(G54+12)))-((E59*(G59+10))+((G95+5)*(E54-E59)))</f>
        <v>183.01876807142844</v>
      </c>
    </row>
    <row r="124" spans="1:11">
      <c r="C124" s="120">
        <f>G95/100+0.1</f>
        <v>0.81415307982142848</v>
      </c>
      <c r="D124" s="104">
        <f>((E54*(G54-8))-(E55/100*E54*(G54-8)))-((E59*(G59+10))+((G95+10)*(E54-E59)))</f>
        <v>-54.781231928571287</v>
      </c>
      <c r="E124" s="104">
        <f>((E54*(G54-4))-(E55/100*E77*(G54-4)))-((E59*(G59+10))+((G95+10)*(E54-E59)))</f>
        <v>10.338768071428603</v>
      </c>
      <c r="F124" s="104">
        <f>((E54*(G54))-(E55/100*E54*(G54)))-((E59*(G59+10))+((G95+10)*(E54-E59)))</f>
        <v>32.338768071428603</v>
      </c>
      <c r="G124" s="104">
        <f>((E54*(G54+4))-(E55/100*E54*(G54+4)))-((E59*(G59+10))+((G95+10)*(E54-E59)))</f>
        <v>75.898768071428549</v>
      </c>
      <c r="H124" s="104">
        <f>((E54*(G54+8))-(E55/100*E54*(G54+8)))-((E59*(G59+10))+((G95+10)*(E54-E59)))</f>
        <v>119.45876807142849</v>
      </c>
      <c r="I124" s="104">
        <f>((E54*(G54+12))-(E55/100*E54*(G54+12)))-((E59*(G59+10))+((G95+10)*(E54-E59)))</f>
        <v>163.01876807142844</v>
      </c>
    </row>
    <row r="126" spans="1:11">
      <c r="A126" s="5"/>
      <c r="B126" s="5"/>
      <c r="C126" s="5"/>
      <c r="D126" s="5"/>
      <c r="E126" s="5"/>
      <c r="F126" s="5"/>
      <c r="G126" s="5"/>
      <c r="H126" s="5"/>
      <c r="I126" s="5"/>
      <c r="K126" s="23"/>
    </row>
    <row r="127" spans="1:11">
      <c r="A127" s="5"/>
      <c r="B127" s="5"/>
      <c r="C127" s="5"/>
      <c r="D127" s="5"/>
      <c r="E127" s="5"/>
      <c r="F127" s="5"/>
      <c r="G127" s="5"/>
      <c r="H127" s="5"/>
      <c r="I127" s="5"/>
      <c r="K127" s="23"/>
    </row>
    <row r="128" spans="1:11">
      <c r="A128" s="23"/>
      <c r="K128" s="23"/>
    </row>
    <row r="129" spans="1:11">
      <c r="A129" s="125"/>
      <c r="B129" s="125"/>
      <c r="C129" s="125"/>
      <c r="D129" s="125"/>
      <c r="E129" s="125"/>
      <c r="F129" s="125"/>
      <c r="G129" s="125"/>
      <c r="H129" s="125"/>
      <c r="I129" s="125"/>
      <c r="K129" s="23"/>
    </row>
    <row r="130" spans="1:11">
      <c r="A130" s="125"/>
      <c r="B130" s="144"/>
      <c r="C130" s="144"/>
      <c r="D130" s="144"/>
      <c r="E130" s="144"/>
      <c r="F130" s="144"/>
      <c r="G130" s="144"/>
      <c r="H130" s="144"/>
      <c r="I130" s="144"/>
    </row>
    <row r="131" spans="1:11">
      <c r="G131" s="43"/>
    </row>
    <row r="132" spans="1:11">
      <c r="A132" s="5"/>
      <c r="B132" s="5"/>
      <c r="C132" s="5"/>
      <c r="D132" s="5"/>
      <c r="E132" s="5"/>
      <c r="F132" s="5"/>
      <c r="G132" s="5"/>
      <c r="H132" s="5"/>
      <c r="I132" s="5"/>
    </row>
    <row r="133" spans="1:11">
      <c r="A133" s="5"/>
      <c r="B133" s="5"/>
      <c r="C133" s="5"/>
      <c r="D133" s="5"/>
      <c r="E133" s="5"/>
      <c r="F133" s="5"/>
      <c r="G133" s="5"/>
      <c r="H133" s="5"/>
      <c r="I133" s="5"/>
    </row>
    <row r="134" spans="1:11">
      <c r="A134" s="23"/>
      <c r="G134" s="43"/>
    </row>
    <row r="136" spans="1:11">
      <c r="A136" s="123"/>
    </row>
    <row r="138" spans="1:11">
      <c r="A138" s="23"/>
    </row>
    <row r="139" spans="1:11">
      <c r="A139" s="123"/>
    </row>
    <row r="140" spans="1:11">
      <c r="A140" s="23"/>
    </row>
    <row r="151" spans="1:1">
      <c r="A151" s="23"/>
    </row>
  </sheetData>
  <sheetProtection algorithmName="SHA-512" hashValue="R2aCvvO+W+N72+Am3yexdwsydIjZd+AGB1Mo3X2FOHka9F5JBowyPHxBTxpMC9mi8civRKijScdSz2VNCLmfvg==" saltValue="N/KGFWvdEQU9WXuj9yB1JQ==" spinCount="100000" sheet="1" objects="1" scenarios="1"/>
  <conditionalFormatting sqref="D102:I106">
    <cfRule type="colorScale" priority="4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6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D111:I115">
    <cfRule type="colorScale" priority="5">
      <colorScale>
        <cfvo type="num" val="0"/>
        <cfvo type="num" val="1"/>
        <cfvo type="max"/>
        <color rgb="FFF8696B"/>
        <color rgb="FFFFEB84"/>
        <color rgb="FF63BE7B"/>
      </colorScale>
    </cfRule>
  </conditionalFormatting>
  <conditionalFormatting sqref="D120:I124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91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33" id="{09A6B1E1-8B2D-4C50-8F75-EAE7DCCFC44B}">
            <x14:colorScale>
              <x14:cfvo type="min"/>
              <x14:cfvo type="num">
                <xm:f>'Background Nov-Feb'!$I$95</xm:f>
              </x14:cfvo>
              <x14:cfvo type="max"/>
              <x14:color rgb="FFF8696B"/>
              <x14:color rgb="FFFFEB84"/>
              <x14:color rgb="FF63BE7B"/>
            </x14:colorScale>
          </x14:cfRule>
          <xm:sqref>D102:I106</xm:sqref>
        </x14:conditionalFormatting>
        <x14:conditionalFormatting xmlns:xm="http://schemas.microsoft.com/office/excel/2006/main">
          <x14:cfRule type="colorScale" priority="34" id="{06CE0994-48C1-4C12-9A91-3D046E79DF3A}">
            <x14:colorScale>
              <x14:cfvo type="min"/>
              <x14:cfvo type="num">
                <xm:f>'Background Nov-Feb'!$I$95</xm:f>
              </x14:cfvo>
              <x14:cfvo type="max"/>
              <x14:color rgb="FFF8696B"/>
              <x14:color rgb="FFFFEB84"/>
              <x14:color rgb="FF63BE7B"/>
            </x14:colorScale>
          </x14:cfRule>
          <xm:sqref>D111:I115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D100"/>
    <pageSetUpPr fitToPage="1"/>
  </sheetPr>
  <dimension ref="A2:M151"/>
  <sheetViews>
    <sheetView topLeftCell="A13" workbookViewId="0">
      <selection activeCell="I86" sqref="I86"/>
    </sheetView>
  </sheetViews>
  <sheetFormatPr baseColWidth="10" defaultColWidth="17.1640625" defaultRowHeight="16"/>
  <cols>
    <col min="1" max="1" width="6.6640625" style="4" customWidth="1"/>
    <col min="2" max="2" width="14.33203125" style="4" customWidth="1"/>
    <col min="3" max="8" width="11.33203125" style="4" customWidth="1"/>
    <col min="9" max="9" width="12.33203125" style="4" customWidth="1"/>
    <col min="10" max="11" width="10.6640625" style="4" customWidth="1"/>
    <col min="12" max="12" width="10.83203125" style="4" customWidth="1"/>
    <col min="13" max="16" width="10.6640625" style="4" customWidth="1"/>
    <col min="17" max="16384" width="17.1640625" style="4"/>
  </cols>
  <sheetData>
    <row r="2" spans="1:10" ht="21" customHeight="1">
      <c r="A2" s="171" t="s">
        <v>323</v>
      </c>
      <c r="B2" s="171"/>
      <c r="C2" s="171"/>
      <c r="D2" s="171"/>
      <c r="E2" s="171"/>
      <c r="F2" s="171"/>
    </row>
    <row r="3" spans="1:10" ht="19" customHeight="1">
      <c r="A3" s="171" t="s">
        <v>370</v>
      </c>
      <c r="B3" s="171"/>
      <c r="C3" s="171"/>
      <c r="D3" s="171"/>
      <c r="E3" s="171"/>
      <c r="F3" s="171"/>
    </row>
    <row r="4" spans="1:10" ht="16" customHeight="1">
      <c r="A4" s="170"/>
      <c r="B4" s="170"/>
      <c r="C4" s="170"/>
      <c r="D4" s="170"/>
      <c r="E4" s="170"/>
      <c r="F4" s="170"/>
    </row>
    <row r="5" spans="1:10" ht="16" customHeight="1">
      <c r="A5" s="170"/>
      <c r="B5" s="170"/>
      <c r="C5" s="170"/>
      <c r="D5" s="170"/>
      <c r="E5" s="170"/>
      <c r="F5" s="170"/>
    </row>
    <row r="6" spans="1:10" ht="16" customHeight="1">
      <c r="A6" s="170"/>
      <c r="B6" s="170"/>
      <c r="C6" s="170"/>
      <c r="D6" s="170"/>
      <c r="E6" s="170"/>
      <c r="F6" s="170"/>
    </row>
    <row r="7" spans="1:10">
      <c r="A7" s="175">
        <f>+'Step 1 - Feed Cost Input Sheet '!F23</f>
        <v>46029</v>
      </c>
      <c r="B7" s="175"/>
    </row>
    <row r="9" spans="1:10" ht="17" thickBot="1">
      <c r="A9" s="23" t="s">
        <v>281</v>
      </c>
    </row>
    <row r="10" spans="1:10" s="27" customFormat="1" ht="17" thickBot="1">
      <c r="A10" s="24" t="s">
        <v>0</v>
      </c>
      <c r="B10" s="98"/>
      <c r="C10" s="98"/>
      <c r="D10" s="24" t="s">
        <v>1</v>
      </c>
      <c r="E10" s="98"/>
      <c r="F10" s="24" t="s">
        <v>0</v>
      </c>
      <c r="G10" s="98"/>
      <c r="H10" s="98"/>
      <c r="I10" s="24" t="s">
        <v>2</v>
      </c>
    </row>
    <row r="11" spans="1:10">
      <c r="A11" s="26" t="s">
        <v>3</v>
      </c>
      <c r="E11" s="28" t="s">
        <v>4</v>
      </c>
      <c r="F11" s="26" t="s">
        <v>9</v>
      </c>
    </row>
    <row r="12" spans="1:10">
      <c r="A12" s="23" t="s">
        <v>294</v>
      </c>
      <c r="D12" s="12">
        <v>14</v>
      </c>
      <c r="E12" s="28" t="s">
        <v>4</v>
      </c>
      <c r="F12" s="23" t="s">
        <v>85</v>
      </c>
      <c r="I12" s="12">
        <v>9</v>
      </c>
      <c r="J12" s="153" t="s">
        <v>5</v>
      </c>
    </row>
    <row r="13" spans="1:10">
      <c r="A13" s="23" t="s">
        <v>295</v>
      </c>
      <c r="D13" s="150">
        <v>183</v>
      </c>
      <c r="E13" s="28" t="s">
        <v>4</v>
      </c>
      <c r="F13" s="23" t="s">
        <v>86</v>
      </c>
      <c r="I13" s="150">
        <v>8</v>
      </c>
      <c r="J13" s="153" t="s">
        <v>6</v>
      </c>
    </row>
    <row r="14" spans="1:10">
      <c r="A14" s="23" t="s">
        <v>296</v>
      </c>
      <c r="D14" s="12">
        <v>1</v>
      </c>
      <c r="E14" s="28" t="s">
        <v>4</v>
      </c>
      <c r="F14" s="23" t="s">
        <v>87</v>
      </c>
      <c r="I14" s="150">
        <v>125</v>
      </c>
      <c r="J14" s="153" t="s">
        <v>7</v>
      </c>
    </row>
    <row r="15" spans="1:10">
      <c r="D15" s="99"/>
      <c r="E15" s="28" t="s">
        <v>4</v>
      </c>
      <c r="I15" s="99"/>
      <c r="J15" s="153" t="s">
        <v>8</v>
      </c>
    </row>
    <row r="16" spans="1:10">
      <c r="A16" s="26" t="s">
        <v>38</v>
      </c>
      <c r="D16" s="99"/>
      <c r="E16" s="28" t="s">
        <v>4</v>
      </c>
      <c r="F16" s="26" t="s">
        <v>41</v>
      </c>
      <c r="I16" s="99"/>
    </row>
    <row r="17" spans="1:13">
      <c r="A17" s="23" t="s">
        <v>297</v>
      </c>
      <c r="D17" s="12">
        <v>11</v>
      </c>
      <c r="E17" s="28" t="s">
        <v>4</v>
      </c>
      <c r="F17" s="23" t="s">
        <v>305</v>
      </c>
      <c r="I17" s="124">
        <v>3</v>
      </c>
      <c r="J17" s="4">
        <f>+I17*30</f>
        <v>90</v>
      </c>
      <c r="K17" s="4" t="s">
        <v>116</v>
      </c>
    </row>
    <row r="18" spans="1:13">
      <c r="A18" s="23" t="s">
        <v>298</v>
      </c>
      <c r="D18" s="150">
        <v>200</v>
      </c>
      <c r="E18" s="28" t="s">
        <v>4</v>
      </c>
      <c r="F18" s="4" t="s">
        <v>250</v>
      </c>
      <c r="I18" s="124">
        <v>0</v>
      </c>
    </row>
    <row r="19" spans="1:13">
      <c r="D19" s="99"/>
      <c r="E19" s="28" t="s">
        <v>4</v>
      </c>
    </row>
    <row r="20" spans="1:13" ht="17" thickBot="1">
      <c r="A20" s="26" t="s">
        <v>39</v>
      </c>
      <c r="D20" s="99"/>
      <c r="E20" s="28" t="s">
        <v>4</v>
      </c>
      <c r="F20" s="27" t="s">
        <v>117</v>
      </c>
    </row>
    <row r="21" spans="1:13" ht="17.25" customHeight="1" thickTop="1" thickBot="1">
      <c r="A21" s="23" t="s">
        <v>284</v>
      </c>
      <c r="D21" s="150">
        <v>22</v>
      </c>
      <c r="E21" s="28" t="s">
        <v>4</v>
      </c>
      <c r="F21" s="4" t="s">
        <v>147</v>
      </c>
      <c r="I21" s="72">
        <v>0</v>
      </c>
      <c r="J21" s="173" t="s">
        <v>355</v>
      </c>
      <c r="K21" s="173"/>
      <c r="L21" s="173"/>
      <c r="M21" s="173"/>
    </row>
    <row r="22" spans="1:13" ht="17" thickTop="1">
      <c r="A22" s="23" t="s">
        <v>285</v>
      </c>
      <c r="D22" s="150">
        <v>7</v>
      </c>
      <c r="E22" s="28" t="s">
        <v>4</v>
      </c>
      <c r="F22" s="4" t="s">
        <v>306</v>
      </c>
      <c r="I22" s="73">
        <v>90</v>
      </c>
      <c r="J22" s="173" t="s">
        <v>362</v>
      </c>
      <c r="K22" s="173"/>
      <c r="L22" s="173"/>
      <c r="M22" s="173"/>
    </row>
    <row r="23" spans="1:13" ht="17" thickBot="1">
      <c r="A23" s="23" t="s">
        <v>286</v>
      </c>
      <c r="D23" s="150">
        <v>20.25</v>
      </c>
      <c r="E23" s="28" t="s">
        <v>4</v>
      </c>
      <c r="F23" s="4" t="s">
        <v>118</v>
      </c>
      <c r="I23" s="67">
        <v>3</v>
      </c>
      <c r="J23" s="173" t="s">
        <v>363</v>
      </c>
      <c r="K23" s="173"/>
      <c r="L23" s="173"/>
      <c r="M23" s="173"/>
    </row>
    <row r="24" spans="1:13" ht="18" thickTop="1" thickBot="1">
      <c r="A24" s="4" t="s">
        <v>40</v>
      </c>
      <c r="D24" s="150">
        <v>0</v>
      </c>
      <c r="E24" s="28" t="s">
        <v>4</v>
      </c>
      <c r="F24" s="4" t="s">
        <v>120</v>
      </c>
      <c r="I24" s="74">
        <v>10</v>
      </c>
      <c r="J24" s="173"/>
      <c r="K24" s="173"/>
      <c r="L24" s="173"/>
      <c r="M24" s="173"/>
    </row>
    <row r="25" spans="1:13" ht="15.75" customHeight="1" thickTop="1">
      <c r="A25" s="8" t="s">
        <v>67</v>
      </c>
      <c r="B25" s="8"/>
      <c r="C25" s="8"/>
      <c r="D25" s="155">
        <v>0</v>
      </c>
      <c r="E25" s="8"/>
      <c r="F25" s="8" t="s">
        <v>122</v>
      </c>
      <c r="G25" s="8"/>
      <c r="H25" s="8"/>
      <c r="I25" s="75">
        <v>25</v>
      </c>
    </row>
    <row r="26" spans="1:13" ht="16" customHeight="1">
      <c r="A26" s="27" t="s">
        <v>69</v>
      </c>
      <c r="D26" s="28"/>
      <c r="E26" s="23"/>
      <c r="H26" s="5"/>
    </row>
    <row r="27" spans="1:13" ht="68">
      <c r="C27" s="8" t="s">
        <v>70</v>
      </c>
      <c r="D27" s="8"/>
      <c r="E27" s="8"/>
      <c r="F27" s="151" t="s">
        <v>112</v>
      </c>
      <c r="G27" s="151" t="s">
        <v>113</v>
      </c>
      <c r="H27" s="151" t="s">
        <v>114</v>
      </c>
      <c r="I27" s="8" t="s">
        <v>115</v>
      </c>
    </row>
    <row r="28" spans="1:13">
      <c r="C28" s="27" t="str">
        <f>+'Step 1 - Feed Cost Input Sheet '!A24</f>
        <v>20% Liquid</v>
      </c>
      <c r="D28" s="80"/>
      <c r="E28" s="80"/>
      <c r="F28" s="190">
        <v>1.33</v>
      </c>
      <c r="G28" s="4">
        <f>+(F28/100)*$J$17</f>
        <v>1.1970000000000001</v>
      </c>
      <c r="H28" s="145">
        <f>+'Step 1 - Feed Cost Input Sheet '!B24</f>
        <v>15</v>
      </c>
      <c r="I28" s="4" t="s">
        <v>71</v>
      </c>
      <c r="J28" s="29" t="s">
        <v>364</v>
      </c>
      <c r="K28" s="29"/>
      <c r="L28" s="29"/>
      <c r="M28" s="29"/>
    </row>
    <row r="29" spans="1:13">
      <c r="C29" s="27" t="str">
        <f>+'Step 1 - Feed Cost Input Sheet '!A25</f>
        <v>Mineral &amp; Salt</v>
      </c>
      <c r="D29" s="80"/>
      <c r="E29" s="80"/>
      <c r="F29" s="190">
        <v>0</v>
      </c>
      <c r="G29" s="4">
        <f>+(F29/100)*$J$17</f>
        <v>0</v>
      </c>
      <c r="H29" s="145">
        <f>+'Step 1 - Feed Cost Input Sheet '!B25</f>
        <v>22</v>
      </c>
      <c r="I29" s="4" t="s">
        <v>71</v>
      </c>
      <c r="J29" s="29" t="s">
        <v>365</v>
      </c>
      <c r="K29" s="29"/>
      <c r="L29" s="29"/>
      <c r="M29" s="29"/>
    </row>
    <row r="30" spans="1:13">
      <c r="C30" s="27" t="str">
        <f>+'Step 1 - Feed Cost Input Sheet '!A26</f>
        <v>Dry Corn</v>
      </c>
      <c r="D30" s="80"/>
      <c r="E30" s="80"/>
      <c r="F30" s="190">
        <v>6.77</v>
      </c>
      <c r="G30" s="4">
        <f>+(F30/56)*$J$17</f>
        <v>10.880357142857143</v>
      </c>
      <c r="H30" s="145">
        <f>+'Step 1 - Feed Cost Input Sheet '!B26</f>
        <v>3.25</v>
      </c>
      <c r="I30" s="4" t="s">
        <v>72</v>
      </c>
      <c r="J30" s="29" t="s">
        <v>366</v>
      </c>
      <c r="K30" s="29"/>
      <c r="L30" s="29"/>
      <c r="M30" s="29"/>
    </row>
    <row r="31" spans="1:13">
      <c r="C31" s="27" t="str">
        <f>+'Step 1 - Feed Cost Input Sheet '!A27</f>
        <v>High Moisture Corn</v>
      </c>
      <c r="D31" s="80"/>
      <c r="E31" s="80"/>
      <c r="F31" s="190">
        <v>3.48</v>
      </c>
      <c r="G31" s="4">
        <f>+(F31/56)*$J$17</f>
        <v>5.5928571428571434</v>
      </c>
      <c r="H31" s="145">
        <f>+'Step 1 - Feed Cost Input Sheet '!B27</f>
        <v>2.25</v>
      </c>
      <c r="I31" s="4" t="s">
        <v>72</v>
      </c>
      <c r="J31" s="29" t="s">
        <v>367</v>
      </c>
      <c r="K31" s="29"/>
      <c r="L31" s="29"/>
      <c r="M31" s="29"/>
    </row>
    <row r="32" spans="1:13">
      <c r="C32" s="27" t="str">
        <f>+'Step 1 - Feed Cost Input Sheet '!A28</f>
        <v>Hay</v>
      </c>
      <c r="D32" s="80"/>
      <c r="E32" s="80"/>
      <c r="F32" s="190">
        <v>0.56999999999999995</v>
      </c>
      <c r="G32" s="4">
        <f>+(F32/2000)*$J$17</f>
        <v>2.5649999999999999E-2</v>
      </c>
      <c r="H32" s="145">
        <f>+'Step 1 - Feed Cost Input Sheet '!B28</f>
        <v>120</v>
      </c>
      <c r="I32" s="4" t="s">
        <v>73</v>
      </c>
    </row>
    <row r="33" spans="1:9">
      <c r="C33" s="27" t="str">
        <f>+'Step 1 - Feed Cost Input Sheet '!A29</f>
        <v>Alfalfa</v>
      </c>
      <c r="D33" s="80"/>
      <c r="E33" s="80"/>
      <c r="F33" s="190">
        <v>0</v>
      </c>
      <c r="G33" s="4">
        <f>+(F33/2000)*$J$17</f>
        <v>0</v>
      </c>
      <c r="H33" s="145">
        <f>+'Step 1 - Feed Cost Input Sheet '!B29</f>
        <v>150</v>
      </c>
      <c r="I33" s="4" t="s">
        <v>73</v>
      </c>
    </row>
    <row r="34" spans="1:9">
      <c r="C34" s="27" t="str">
        <f>+'Step 1 - Feed Cost Input Sheet '!A30</f>
        <v>Silage</v>
      </c>
      <c r="D34" s="80"/>
      <c r="E34" s="80"/>
      <c r="F34" s="190">
        <v>1.83</v>
      </c>
      <c r="G34" s="4">
        <f>+(F34/2000)*$J$17</f>
        <v>8.2350000000000007E-2</v>
      </c>
      <c r="H34" s="145">
        <f>+'Step 1 - Feed Cost Input Sheet '!B30</f>
        <v>32</v>
      </c>
      <c r="I34" s="4" t="s">
        <v>73</v>
      </c>
    </row>
    <row r="35" spans="1:9">
      <c r="C35" s="27" t="str">
        <f>+'Step 1 - Feed Cost Input Sheet '!A31</f>
        <v>Corn Stover</v>
      </c>
      <c r="D35" s="80"/>
      <c r="E35" s="80"/>
      <c r="F35" s="190">
        <v>2.0499999999999998</v>
      </c>
      <c r="G35" s="4">
        <f>+(F35/2000)*$J$17</f>
        <v>9.2249999999999985E-2</v>
      </c>
      <c r="H35" s="145">
        <f>+'Step 1 - Feed Cost Input Sheet '!B31</f>
        <v>50</v>
      </c>
      <c r="I35" s="4" t="s">
        <v>73</v>
      </c>
    </row>
    <row r="36" spans="1:9">
      <c r="C36" s="27" t="str">
        <f>+'Step 1 - Feed Cost Input Sheet '!A32</f>
        <v>Dried Distillers</v>
      </c>
      <c r="D36" s="80"/>
      <c r="E36" s="80"/>
      <c r="F36" s="190">
        <v>1.73</v>
      </c>
      <c r="G36" s="4">
        <f>+(F36/2000)*$J$17</f>
        <v>7.7850000000000003E-2</v>
      </c>
      <c r="H36" s="145">
        <f>+'Step 1 - Feed Cost Input Sheet '!B32</f>
        <v>145</v>
      </c>
      <c r="I36" s="4" t="s">
        <v>73</v>
      </c>
    </row>
    <row r="37" spans="1:9">
      <c r="C37" s="27" t="str">
        <f>+'Step 1 - Feed Cost Input Sheet '!A33</f>
        <v>Added Feedstuff #1</v>
      </c>
      <c r="D37" s="80"/>
      <c r="E37" s="80"/>
      <c r="F37" s="190">
        <v>0</v>
      </c>
      <c r="G37" s="4">
        <f t="shared" ref="G37:G40" si="0">+(F37/2000)*$J$17</f>
        <v>0</v>
      </c>
      <c r="H37" s="145">
        <f>+'Step 1 - Feed Cost Input Sheet '!B33</f>
        <v>0</v>
      </c>
      <c r="I37" s="4" t="s">
        <v>73</v>
      </c>
    </row>
    <row r="38" spans="1:9">
      <c r="C38" s="27" t="str">
        <f>+'Step 1 - Feed Cost Input Sheet '!A34</f>
        <v>Added Feedstuff #2</v>
      </c>
      <c r="D38" s="80"/>
      <c r="E38" s="80"/>
      <c r="F38" s="190">
        <v>0</v>
      </c>
      <c r="G38" s="4">
        <f t="shared" si="0"/>
        <v>0</v>
      </c>
      <c r="H38" s="145">
        <f>+'Step 1 - Feed Cost Input Sheet '!B34</f>
        <v>0</v>
      </c>
      <c r="I38" s="4" t="s">
        <v>73</v>
      </c>
    </row>
    <row r="39" spans="1:9">
      <c r="C39" s="27" t="str">
        <f>+'Step 1 - Feed Cost Input Sheet '!A35</f>
        <v>Added Feedstuff #3</v>
      </c>
      <c r="D39" s="80"/>
      <c r="E39" s="80"/>
      <c r="F39" s="190">
        <v>0</v>
      </c>
      <c r="G39" s="4">
        <f t="shared" si="0"/>
        <v>0</v>
      </c>
      <c r="H39" s="145">
        <f>+'Step 1 - Feed Cost Input Sheet '!B35</f>
        <v>0</v>
      </c>
      <c r="I39" s="4" t="s">
        <v>73</v>
      </c>
    </row>
    <row r="40" spans="1:9">
      <c r="C40" s="27" t="str">
        <f>+'Step 1 - Feed Cost Input Sheet '!A36</f>
        <v>Added Feedstuff #4</v>
      </c>
      <c r="D40" s="80"/>
      <c r="E40" s="80"/>
      <c r="F40" s="190">
        <v>0</v>
      </c>
      <c r="G40" s="4">
        <f t="shared" si="0"/>
        <v>0</v>
      </c>
      <c r="H40" s="145">
        <f>+'Step 1 - Feed Cost Input Sheet '!B36</f>
        <v>0</v>
      </c>
      <c r="I40" s="4" t="s">
        <v>73</v>
      </c>
    </row>
    <row r="41" spans="1:9">
      <c r="C41" s="27" t="str">
        <f>+'Step 1 - Feed Cost Input Sheet '!A37</f>
        <v>Pasture</v>
      </c>
      <c r="D41" s="80"/>
      <c r="E41" s="80"/>
      <c r="F41" s="190">
        <v>0</v>
      </c>
      <c r="G41" s="4">
        <f>I18</f>
        <v>0</v>
      </c>
      <c r="H41" s="145">
        <f>+'Step 1 - Feed Cost Input Sheet '!B37</f>
        <v>60</v>
      </c>
      <c r="I41" s="4" t="s">
        <v>153</v>
      </c>
    </row>
    <row r="42" spans="1:9">
      <c r="C42" s="27"/>
      <c r="D42" s="80"/>
      <c r="E42" s="80"/>
      <c r="F42" s="154"/>
      <c r="H42" s="145"/>
    </row>
    <row r="43" spans="1:9" ht="16" customHeight="1">
      <c r="A43" s="189" t="s">
        <v>309</v>
      </c>
      <c r="B43" s="171"/>
      <c r="C43" s="171"/>
      <c r="D43" s="171"/>
      <c r="E43" s="171"/>
      <c r="F43" s="171"/>
      <c r="G43" s="188"/>
      <c r="H43" s="145"/>
    </row>
    <row r="44" spans="1:9" ht="16" customHeight="1">
      <c r="A44" s="189" t="s">
        <v>370</v>
      </c>
      <c r="B44" s="171"/>
      <c r="C44" s="171"/>
      <c r="D44" s="171"/>
      <c r="E44" s="171"/>
      <c r="F44" s="171"/>
      <c r="G44" s="188"/>
      <c r="H44" s="145"/>
    </row>
    <row r="45" spans="1:9" ht="16" customHeight="1">
      <c r="A45" s="170"/>
      <c r="B45" s="170"/>
      <c r="C45" s="170"/>
      <c r="D45" s="170"/>
      <c r="E45" s="170"/>
      <c r="F45" s="170"/>
      <c r="G45" s="188"/>
      <c r="H45" s="145"/>
    </row>
    <row r="46" spans="1:9" ht="16" customHeight="1">
      <c r="A46" s="170"/>
      <c r="B46" s="170"/>
      <c r="C46" s="170"/>
      <c r="D46" s="170"/>
      <c r="E46" s="170"/>
      <c r="F46" s="170"/>
      <c r="G46" s="188"/>
      <c r="H46" s="145"/>
    </row>
    <row r="47" spans="1:9" ht="16" customHeight="1">
      <c r="A47" s="170"/>
      <c r="B47" s="170"/>
      <c r="C47" s="170"/>
      <c r="D47" s="170"/>
      <c r="E47" s="170"/>
      <c r="F47" s="170"/>
      <c r="G47" s="188"/>
      <c r="H47" s="145"/>
    </row>
    <row r="48" spans="1:9">
      <c r="A48" s="175">
        <f>+'Step 1 - Feed Cost Input Sheet '!F23</f>
        <v>46029</v>
      </c>
      <c r="B48" s="175"/>
      <c r="H48" s="145"/>
    </row>
    <row r="49" spans="1:9">
      <c r="A49" s="23" t="s">
        <v>10</v>
      </c>
    </row>
    <row r="50" spans="1:9">
      <c r="B50" s="7" t="s">
        <v>37</v>
      </c>
      <c r="C50" s="96">
        <f>(D12-D17)*100</f>
        <v>300</v>
      </c>
      <c r="D50" s="23" t="s">
        <v>175</v>
      </c>
      <c r="E50" s="97">
        <f>I17</f>
        <v>3</v>
      </c>
      <c r="F50" s="4" t="s">
        <v>178</v>
      </c>
      <c r="G50" s="4">
        <f>C50/(I17*365/12)</f>
        <v>3.2876712328767121</v>
      </c>
      <c r="H50" s="4" t="s">
        <v>177</v>
      </c>
    </row>
    <row r="51" spans="1:9">
      <c r="A51" s="26" t="s">
        <v>11</v>
      </c>
    </row>
    <row r="52" spans="1:9">
      <c r="B52" s="23" t="s">
        <v>42</v>
      </c>
      <c r="E52" s="4">
        <f>D12</f>
        <v>14</v>
      </c>
      <c r="F52" s="11" t="s">
        <v>43</v>
      </c>
      <c r="G52" s="43">
        <f>D13</f>
        <v>183</v>
      </c>
      <c r="I52" s="103">
        <f>E52*G52</f>
        <v>2562</v>
      </c>
    </row>
    <row r="53" spans="1:9" ht="17" thickBot="1">
      <c r="B53" s="23" t="s">
        <v>44</v>
      </c>
      <c r="D53" s="7" t="s">
        <v>29</v>
      </c>
      <c r="E53" s="4">
        <f>D14</f>
        <v>1</v>
      </c>
      <c r="F53" s="23" t="s">
        <v>45</v>
      </c>
      <c r="G53" s="43">
        <f>I52</f>
        <v>2562</v>
      </c>
      <c r="H53" s="104" t="s">
        <v>27</v>
      </c>
      <c r="I53" s="105">
        <f>-E53*G53/100</f>
        <v>-25.62</v>
      </c>
    </row>
    <row r="54" spans="1:9" ht="17" thickBot="1">
      <c r="D54" s="23" t="s">
        <v>12</v>
      </c>
      <c r="I54" s="106">
        <f>SUM(I52:I53)</f>
        <v>2536.38</v>
      </c>
    </row>
    <row r="55" spans="1:9">
      <c r="I55" s="44"/>
    </row>
    <row r="56" spans="1:9">
      <c r="A56" s="26" t="s">
        <v>13</v>
      </c>
      <c r="I56" s="44"/>
    </row>
    <row r="57" spans="1:9">
      <c r="B57" s="23" t="s">
        <v>46</v>
      </c>
      <c r="E57" s="4">
        <f>D17</f>
        <v>11</v>
      </c>
      <c r="F57" s="11" t="s">
        <v>47</v>
      </c>
      <c r="G57" s="43">
        <f>+D18</f>
        <v>200</v>
      </c>
      <c r="I57" s="105">
        <f>E57*G57</f>
        <v>2200</v>
      </c>
    </row>
    <row r="58" spans="1:9">
      <c r="B58" s="23" t="s">
        <v>68</v>
      </c>
      <c r="I58" s="214">
        <f>SUM(H59:H72)</f>
        <v>87.51403928571429</v>
      </c>
    </row>
    <row r="59" spans="1:9">
      <c r="C59" s="23" t="str">
        <f t="shared" ref="C59:C67" si="1">+C28</f>
        <v>20% Liquid</v>
      </c>
      <c r="D59" s="23" t="s">
        <v>14</v>
      </c>
      <c r="E59" s="4">
        <f t="shared" ref="E59:E67" si="2">+G28</f>
        <v>1.1970000000000001</v>
      </c>
      <c r="F59" s="11" t="s">
        <v>15</v>
      </c>
      <c r="G59" s="43">
        <f t="shared" ref="G59:G67" si="3">+H28</f>
        <v>15</v>
      </c>
      <c r="H59" s="43">
        <f t="shared" ref="H59:H67" si="4">E59*G59</f>
        <v>17.955000000000002</v>
      </c>
      <c r="I59" s="44"/>
    </row>
    <row r="60" spans="1:9">
      <c r="C60" s="23" t="str">
        <f t="shared" si="1"/>
        <v>Mineral &amp; Salt</v>
      </c>
      <c r="E60" s="4">
        <f t="shared" si="2"/>
        <v>0</v>
      </c>
      <c r="F60" s="11" t="s">
        <v>15</v>
      </c>
      <c r="G60" s="43">
        <f t="shared" si="3"/>
        <v>22</v>
      </c>
      <c r="H60" s="43">
        <f t="shared" si="4"/>
        <v>0</v>
      </c>
      <c r="I60" s="44"/>
    </row>
    <row r="61" spans="1:9">
      <c r="C61" s="23" t="str">
        <f t="shared" si="1"/>
        <v>Dry Corn</v>
      </c>
      <c r="E61" s="4">
        <f t="shared" si="2"/>
        <v>10.880357142857143</v>
      </c>
      <c r="F61" s="11" t="s">
        <v>49</v>
      </c>
      <c r="G61" s="43">
        <f t="shared" si="3"/>
        <v>3.25</v>
      </c>
      <c r="H61" s="43">
        <f t="shared" si="4"/>
        <v>35.361160714285717</v>
      </c>
      <c r="I61" s="44"/>
    </row>
    <row r="62" spans="1:9">
      <c r="C62" s="23" t="str">
        <f t="shared" si="1"/>
        <v>High Moisture Corn</v>
      </c>
      <c r="E62" s="4">
        <f t="shared" si="2"/>
        <v>5.5928571428571434</v>
      </c>
      <c r="F62" s="11" t="s">
        <v>49</v>
      </c>
      <c r="G62" s="43">
        <f t="shared" si="3"/>
        <v>2.25</v>
      </c>
      <c r="H62" s="43">
        <f t="shared" si="4"/>
        <v>12.583928571428572</v>
      </c>
      <c r="I62" s="44"/>
    </row>
    <row r="63" spans="1:9">
      <c r="C63" s="23" t="str">
        <f t="shared" si="1"/>
        <v>Hay</v>
      </c>
      <c r="E63" s="4">
        <f t="shared" si="2"/>
        <v>2.5649999999999999E-2</v>
      </c>
      <c r="F63" s="11" t="s">
        <v>50</v>
      </c>
      <c r="G63" s="43">
        <f t="shared" si="3"/>
        <v>120</v>
      </c>
      <c r="H63" s="43">
        <f t="shared" si="4"/>
        <v>3.0779999999999998</v>
      </c>
      <c r="I63" s="44"/>
    </row>
    <row r="64" spans="1:9">
      <c r="C64" s="23" t="str">
        <f t="shared" si="1"/>
        <v>Alfalfa</v>
      </c>
      <c r="E64" s="4">
        <f t="shared" si="2"/>
        <v>0</v>
      </c>
      <c r="F64" s="11" t="s">
        <v>50</v>
      </c>
      <c r="G64" s="43">
        <f t="shared" si="3"/>
        <v>150</v>
      </c>
      <c r="H64" s="43">
        <f t="shared" si="4"/>
        <v>0</v>
      </c>
      <c r="I64" s="44"/>
    </row>
    <row r="65" spans="2:9">
      <c r="C65" s="23" t="str">
        <f t="shared" si="1"/>
        <v>Silage</v>
      </c>
      <c r="E65" s="4">
        <f t="shared" si="2"/>
        <v>8.2350000000000007E-2</v>
      </c>
      <c r="F65" s="11" t="s">
        <v>50</v>
      </c>
      <c r="G65" s="43">
        <f t="shared" si="3"/>
        <v>32</v>
      </c>
      <c r="H65" s="43">
        <f t="shared" si="4"/>
        <v>2.6352000000000002</v>
      </c>
      <c r="I65" s="44"/>
    </row>
    <row r="66" spans="2:9">
      <c r="C66" s="23" t="str">
        <f t="shared" si="1"/>
        <v>Corn Stover</v>
      </c>
      <c r="E66" s="4">
        <f t="shared" si="2"/>
        <v>9.2249999999999985E-2</v>
      </c>
      <c r="F66" s="11" t="s">
        <v>50</v>
      </c>
      <c r="G66" s="43">
        <f t="shared" si="3"/>
        <v>50</v>
      </c>
      <c r="H66" s="43">
        <f t="shared" si="4"/>
        <v>4.6124999999999989</v>
      </c>
      <c r="I66" s="44"/>
    </row>
    <row r="67" spans="2:9">
      <c r="C67" s="23" t="str">
        <f t="shared" si="1"/>
        <v>Dried Distillers</v>
      </c>
      <c r="E67" s="4">
        <f t="shared" si="2"/>
        <v>7.7850000000000003E-2</v>
      </c>
      <c r="F67" s="11" t="s">
        <v>50</v>
      </c>
      <c r="G67" s="43">
        <f t="shared" si="3"/>
        <v>145</v>
      </c>
      <c r="H67" s="43">
        <f t="shared" si="4"/>
        <v>11.28825</v>
      </c>
      <c r="I67" s="44"/>
    </row>
    <row r="68" spans="2:9">
      <c r="C68" s="23" t="str">
        <f t="shared" ref="C68:C71" si="5">+C37</f>
        <v>Added Feedstuff #1</v>
      </c>
      <c r="E68" s="4">
        <f t="shared" ref="E68:E71" si="6">+G37</f>
        <v>0</v>
      </c>
      <c r="F68" s="11" t="s">
        <v>50</v>
      </c>
      <c r="G68" s="43">
        <f t="shared" ref="G68:G71" si="7">+H37</f>
        <v>0</v>
      </c>
      <c r="H68" s="43">
        <f t="shared" ref="H68:H71" si="8">E68*G68</f>
        <v>0</v>
      </c>
      <c r="I68" s="44"/>
    </row>
    <row r="69" spans="2:9">
      <c r="C69" s="23" t="str">
        <f t="shared" si="5"/>
        <v>Added Feedstuff #2</v>
      </c>
      <c r="E69" s="4">
        <f t="shared" si="6"/>
        <v>0</v>
      </c>
      <c r="F69" s="11" t="s">
        <v>50</v>
      </c>
      <c r="G69" s="43">
        <f t="shared" si="7"/>
        <v>0</v>
      </c>
      <c r="H69" s="43">
        <f t="shared" si="8"/>
        <v>0</v>
      </c>
      <c r="I69" s="44"/>
    </row>
    <row r="70" spans="2:9">
      <c r="C70" s="23" t="str">
        <f t="shared" si="5"/>
        <v>Added Feedstuff #3</v>
      </c>
      <c r="E70" s="4">
        <f t="shared" si="6"/>
        <v>0</v>
      </c>
      <c r="F70" s="11" t="s">
        <v>50</v>
      </c>
      <c r="G70" s="43">
        <f t="shared" si="7"/>
        <v>0</v>
      </c>
      <c r="H70" s="43">
        <f t="shared" si="8"/>
        <v>0</v>
      </c>
      <c r="I70" s="44"/>
    </row>
    <row r="71" spans="2:9">
      <c r="C71" s="23" t="str">
        <f t="shared" si="5"/>
        <v>Added Feedstuff #4</v>
      </c>
      <c r="E71" s="4">
        <f t="shared" si="6"/>
        <v>0</v>
      </c>
      <c r="F71" s="11" t="s">
        <v>50</v>
      </c>
      <c r="G71" s="43">
        <f t="shared" si="7"/>
        <v>0</v>
      </c>
      <c r="H71" s="43">
        <f t="shared" si="8"/>
        <v>0</v>
      </c>
      <c r="I71" s="44"/>
    </row>
    <row r="72" spans="2:9">
      <c r="C72" s="23" t="str">
        <f>+C41</f>
        <v>Pasture</v>
      </c>
      <c r="E72" s="4">
        <f t="shared" ref="E72" si="9">+G41</f>
        <v>0</v>
      </c>
      <c r="F72" s="11" t="s">
        <v>173</v>
      </c>
      <c r="G72" s="43">
        <f t="shared" ref="G72" si="10">+H41</f>
        <v>60</v>
      </c>
      <c r="H72" s="43">
        <f>(E72*G72)*I17</f>
        <v>0</v>
      </c>
      <c r="I72" s="44"/>
    </row>
    <row r="73" spans="2:9">
      <c r="B73" s="23" t="s">
        <v>16</v>
      </c>
      <c r="I73" s="103">
        <f>D21</f>
        <v>22</v>
      </c>
    </row>
    <row r="74" spans="2:9">
      <c r="B74" s="23" t="s">
        <v>17</v>
      </c>
      <c r="I74" s="103">
        <f>D22</f>
        <v>7</v>
      </c>
    </row>
    <row r="75" spans="2:9">
      <c r="B75" s="23" t="s">
        <v>18</v>
      </c>
      <c r="I75" s="103">
        <f>D23</f>
        <v>20.25</v>
      </c>
    </row>
    <row r="76" spans="2:9">
      <c r="B76" s="23" t="s">
        <v>48</v>
      </c>
      <c r="I76" s="103">
        <f>+D24</f>
        <v>0</v>
      </c>
    </row>
    <row r="77" spans="2:9">
      <c r="B77" s="23" t="s">
        <v>36</v>
      </c>
      <c r="I77" s="105">
        <f>+D25</f>
        <v>0</v>
      </c>
    </row>
    <row r="78" spans="2:9" ht="17" thickBot="1">
      <c r="B78" s="23" t="s">
        <v>121</v>
      </c>
      <c r="I78" s="105">
        <f>IF(I21=0,(I22/I24*I23/I25),(I21*I22/I25))</f>
        <v>1.08</v>
      </c>
    </row>
    <row r="79" spans="2:9" ht="17" thickBot="1">
      <c r="B79" s="23" t="s">
        <v>14</v>
      </c>
      <c r="D79" s="23" t="s">
        <v>19</v>
      </c>
      <c r="I79" s="106">
        <f>I57+I58+I73+I74+I75+I76+I77</f>
        <v>2336.7640392857143</v>
      </c>
    </row>
    <row r="80" spans="2:9" ht="17" thickBot="1">
      <c r="I80" s="44"/>
    </row>
    <row r="81" spans="1:9" ht="18" thickTop="1" thickBot="1">
      <c r="A81" s="26" t="s">
        <v>20</v>
      </c>
      <c r="I81" s="156">
        <f>I54-I79</f>
        <v>199.61596071428585</v>
      </c>
    </row>
    <row r="82" spans="1:9" ht="17" thickTop="1"/>
    <row r="83" spans="1:9">
      <c r="A83" s="26" t="s">
        <v>21</v>
      </c>
    </row>
    <row r="84" spans="1:9">
      <c r="B84" s="23" t="s">
        <v>22</v>
      </c>
      <c r="G84" s="110">
        <f>I12/100</f>
        <v>0.09</v>
      </c>
    </row>
    <row r="85" spans="1:9">
      <c r="B85" s="23" t="s">
        <v>23</v>
      </c>
      <c r="I85" s="103">
        <f>((I79*I12)*($I$17/12))/100</f>
        <v>52.577190883928573</v>
      </c>
    </row>
    <row r="86" spans="1:9">
      <c r="B86" s="23" t="s">
        <v>24</v>
      </c>
      <c r="I86" s="103">
        <f>I13</f>
        <v>8</v>
      </c>
    </row>
    <row r="87" spans="1:9" ht="17" thickBot="1">
      <c r="B87" s="23" t="s">
        <v>33</v>
      </c>
      <c r="I87" s="105">
        <f>(I79+I14)*0.025</f>
        <v>61.544100982142858</v>
      </c>
    </row>
    <row r="88" spans="1:9" ht="17" thickBot="1">
      <c r="D88" s="4" t="s">
        <v>266</v>
      </c>
      <c r="I88" s="157">
        <f>+SUM(I85:I87)</f>
        <v>122.12129186607143</v>
      </c>
    </row>
    <row r="89" spans="1:9" ht="17" thickBot="1">
      <c r="D89" s="23" t="s">
        <v>25</v>
      </c>
      <c r="I89" s="158">
        <f>I81-SUM(I84:I87)</f>
        <v>77.494668848214417</v>
      </c>
    </row>
    <row r="90" spans="1:9" ht="17" thickTop="1"/>
    <row r="91" spans="1:9">
      <c r="G91" s="7" t="s">
        <v>371</v>
      </c>
      <c r="H91" s="103">
        <f>(I79+SUM(I85:I87)+I53)/E52</f>
        <v>173.80466651084183</v>
      </c>
      <c r="I91" s="100" t="s">
        <v>103</v>
      </c>
    </row>
    <row r="92" spans="1:9">
      <c r="E92" s="7" t="s">
        <v>52</v>
      </c>
      <c r="F92" s="43">
        <f>D18</f>
        <v>200</v>
      </c>
      <c r="G92" s="23" t="s">
        <v>53</v>
      </c>
    </row>
    <row r="93" spans="1:9">
      <c r="F93" s="7" t="s">
        <v>54</v>
      </c>
      <c r="G93" s="139">
        <f>(SUM(I58:I77)+SUM(I85:I87))/(E52-E57)</f>
        <v>86.295110383928588</v>
      </c>
      <c r="H93" s="23" t="s">
        <v>55</v>
      </c>
    </row>
    <row r="94" spans="1:9">
      <c r="G94" s="7" t="s">
        <v>372</v>
      </c>
      <c r="H94" s="103">
        <f>(I54-(SUM(I58:I77)-SUM(I84:I87)))/E57</f>
        <v>229.24884114366884</v>
      </c>
      <c r="I94" s="100" t="s">
        <v>103</v>
      </c>
    </row>
    <row r="95" spans="1:9">
      <c r="E95" s="7" t="s">
        <v>57</v>
      </c>
      <c r="F95" s="113">
        <f>D13</f>
        <v>183</v>
      </c>
      <c r="G95" s="23" t="s">
        <v>53</v>
      </c>
    </row>
    <row r="96" spans="1:9">
      <c r="B96" s="26" t="s">
        <v>108</v>
      </c>
    </row>
    <row r="97" spans="1:9">
      <c r="B97" s="43"/>
      <c r="C97" s="120"/>
      <c r="D97" s="180" t="s">
        <v>32</v>
      </c>
      <c r="E97" s="180"/>
      <c r="F97" s="180"/>
      <c r="G97" s="180"/>
      <c r="H97" s="180"/>
      <c r="I97" s="180"/>
    </row>
    <row r="98" spans="1:9" ht="51">
      <c r="A98" s="8"/>
      <c r="B98" s="8"/>
      <c r="C98" s="178" t="s">
        <v>368</v>
      </c>
      <c r="D98" s="114">
        <f>G52-8</f>
        <v>175</v>
      </c>
      <c r="E98" s="115">
        <f>G52-4</f>
        <v>179</v>
      </c>
      <c r="F98" s="115">
        <f>G52</f>
        <v>183</v>
      </c>
      <c r="G98" s="115">
        <f>G52+4</f>
        <v>187</v>
      </c>
      <c r="H98" s="115">
        <f>G52+8</f>
        <v>191</v>
      </c>
      <c r="I98" s="115">
        <f>H98+4</f>
        <v>195</v>
      </c>
    </row>
    <row r="99" spans="1:9">
      <c r="C99" s="184">
        <f>G57-10</f>
        <v>190</v>
      </c>
      <c r="D99" s="104">
        <f t="shared" ref="D99:I99" si="11">(($E$52*D98)-($E$53/100*$E$52*D98))-(($E$57*$C$99)+SUM($I$58:$I$77)+SUM($I$85:$I$87))</f>
        <v>76.614668848214478</v>
      </c>
      <c r="E99" s="104">
        <f t="shared" si="11"/>
        <v>132.05466884821453</v>
      </c>
      <c r="F99" s="104">
        <f t="shared" si="11"/>
        <v>187.49466884821459</v>
      </c>
      <c r="G99" s="104">
        <f t="shared" si="11"/>
        <v>242.93466884821464</v>
      </c>
      <c r="H99" s="104">
        <f t="shared" si="11"/>
        <v>298.3746688482147</v>
      </c>
      <c r="I99" s="104">
        <f t="shared" si="11"/>
        <v>353.8146688482143</v>
      </c>
    </row>
    <row r="100" spans="1:9">
      <c r="C100" s="43">
        <f>G57-5</f>
        <v>195</v>
      </c>
      <c r="D100" s="104">
        <f t="shared" ref="D100:I100" si="12">(($E$52*D98)-($E$53/100*$E$52*D98))-(($E$57*$C$100)+SUM($I$58:$I$77)+SUM($I$85:$I$87))</f>
        <v>21.614668848214478</v>
      </c>
      <c r="E100" s="104">
        <f t="shared" si="12"/>
        <v>77.054668848214533</v>
      </c>
      <c r="F100" s="104">
        <f t="shared" si="12"/>
        <v>132.49466884821459</v>
      </c>
      <c r="G100" s="104">
        <f t="shared" si="12"/>
        <v>187.93466884821464</v>
      </c>
      <c r="H100" s="104">
        <f t="shared" si="12"/>
        <v>243.3746688482147</v>
      </c>
      <c r="I100" s="104">
        <f t="shared" si="12"/>
        <v>298.8146688482143</v>
      </c>
    </row>
    <row r="101" spans="1:9">
      <c r="C101" s="43">
        <f>G57</f>
        <v>200</v>
      </c>
      <c r="D101" s="104">
        <f t="shared" ref="D101:I101" si="13">(($E$52*D98)-($E$53/100*$E$52*D98))-(($E$57*$C$101)+SUM($I$58:$I$77)+SUM($I$85:$I$87))</f>
        <v>-33.385331151785522</v>
      </c>
      <c r="E101" s="104">
        <f t="shared" si="13"/>
        <v>22.054668848214533</v>
      </c>
      <c r="F101" s="104">
        <f t="shared" si="13"/>
        <v>77.494668848214587</v>
      </c>
      <c r="G101" s="104">
        <f t="shared" si="13"/>
        <v>132.93466884821464</v>
      </c>
      <c r="H101" s="104">
        <f t="shared" si="13"/>
        <v>188.3746688482147</v>
      </c>
      <c r="I101" s="104">
        <f t="shared" si="13"/>
        <v>243.8146688482143</v>
      </c>
    </row>
    <row r="102" spans="1:9">
      <c r="C102" s="43">
        <f>G57+5</f>
        <v>205</v>
      </c>
      <c r="D102" s="104">
        <f t="shared" ref="D102:I102" si="14">(($E$52*D98)-($E$53/100*$E$52*D98))-(($E$57*$C$102)+SUM($I$58:$I$77)+SUM($I$85:$I$87))</f>
        <v>-88.385331151785522</v>
      </c>
      <c r="E102" s="104">
        <f t="shared" si="14"/>
        <v>-32.945331151785467</v>
      </c>
      <c r="F102" s="104">
        <f t="shared" si="14"/>
        <v>22.494668848214587</v>
      </c>
      <c r="G102" s="104">
        <f t="shared" si="14"/>
        <v>77.934668848214642</v>
      </c>
      <c r="H102" s="104">
        <f t="shared" si="14"/>
        <v>133.3746688482147</v>
      </c>
      <c r="I102" s="104">
        <f t="shared" si="14"/>
        <v>188.8146688482143</v>
      </c>
    </row>
    <row r="103" spans="1:9">
      <c r="C103" s="43">
        <f>G57+10</f>
        <v>210</v>
      </c>
      <c r="D103" s="104">
        <f t="shared" ref="D103:I103" si="15">(($E$52*D98)-($E$53/100*$E$52*D98))-(($E$57*$C$103)+SUM($I$58:$I$77)+SUM($I$85:$I$87))</f>
        <v>-143.38533115178552</v>
      </c>
      <c r="E103" s="104">
        <f t="shared" si="15"/>
        <v>-87.945331151785467</v>
      </c>
      <c r="F103" s="104">
        <f t="shared" si="15"/>
        <v>-32.505331151785413</v>
      </c>
      <c r="G103" s="104">
        <f t="shared" si="15"/>
        <v>22.934668848214642</v>
      </c>
      <c r="H103" s="104">
        <f t="shared" si="15"/>
        <v>78.374668848214696</v>
      </c>
      <c r="I103" s="104">
        <f t="shared" si="15"/>
        <v>133.8146688482143</v>
      </c>
    </row>
    <row r="104" spans="1:9">
      <c r="I104" s="23"/>
    </row>
    <row r="105" spans="1:9">
      <c r="I105" s="23"/>
    </row>
    <row r="106" spans="1:9">
      <c r="B106" s="116" t="s">
        <v>108</v>
      </c>
      <c r="C106" s="43"/>
      <c r="D106" s="43"/>
      <c r="E106" s="43"/>
      <c r="F106" s="43"/>
      <c r="G106" s="43"/>
      <c r="I106" s="23"/>
    </row>
    <row r="107" spans="1:9">
      <c r="B107" s="104"/>
      <c r="D107" s="7" t="s">
        <v>59</v>
      </c>
      <c r="E107" s="117">
        <f>G57</f>
        <v>200</v>
      </c>
      <c r="F107" s="104" t="s">
        <v>60</v>
      </c>
      <c r="H107" s="43"/>
      <c r="I107" s="104"/>
    </row>
    <row r="108" spans="1:9">
      <c r="B108" s="113"/>
      <c r="C108" s="118" t="s">
        <v>89</v>
      </c>
      <c r="D108" s="43"/>
      <c r="E108" s="43"/>
      <c r="F108" s="43"/>
      <c r="G108" s="43"/>
      <c r="H108" s="43"/>
      <c r="I108" s="104"/>
    </row>
    <row r="109" spans="1:9">
      <c r="A109" s="8"/>
      <c r="B109" s="8"/>
      <c r="C109" s="119" t="s">
        <v>92</v>
      </c>
      <c r="D109" s="115">
        <f>G52-8</f>
        <v>175</v>
      </c>
      <c r="E109" s="115">
        <f>G52-4</f>
        <v>179</v>
      </c>
      <c r="F109" s="115">
        <f>G52</f>
        <v>183</v>
      </c>
      <c r="G109" s="115">
        <f>G52+4</f>
        <v>187</v>
      </c>
      <c r="H109" s="115">
        <f>G52+8</f>
        <v>191</v>
      </c>
      <c r="I109" s="115">
        <f>G52+12</f>
        <v>195</v>
      </c>
    </row>
    <row r="110" spans="1:9">
      <c r="C110" s="120">
        <f>G93/100-0.1</f>
        <v>0.76295110383928588</v>
      </c>
      <c r="D110" s="104">
        <f>((E52*(G52-8))-(E53/100*E52*(G52-8)))-(I57+((G93-10)*(E52-E57)))</f>
        <v>-3.3853311517859765</v>
      </c>
      <c r="E110" s="104">
        <f>((E52*(G52-4))-(E53/100*E52*(G52-4)))-(I57+((G93-10)*(E52-E57)))</f>
        <v>52.054668848214078</v>
      </c>
      <c r="F110" s="104">
        <f>((E52*(G52))-(E53/100*E52*(G52)))-(I57+((G93-10)*(E52-E57)))</f>
        <v>107.49466884821413</v>
      </c>
      <c r="G110" s="104">
        <f>((E52*(G52+4))-(E53/100*E52*(G52+4)))-(I57+((G93-10)*(E52-E57)))</f>
        <v>162.93466884821419</v>
      </c>
      <c r="H110" s="104">
        <f>((E52*(G52+8))-(E53/100*E52*(G52+8)))-(I57+((G93-10)*(E52-E57)))</f>
        <v>218.37466884821424</v>
      </c>
      <c r="I110" s="104">
        <f>((E52*(G52+12))-(E53/100*E52*(G52+12)))-(I57+((G93-10)*(E52-E57)))</f>
        <v>273.81466884821384</v>
      </c>
    </row>
    <row r="111" spans="1:9">
      <c r="C111" s="120">
        <f>G93/100-0.05</f>
        <v>0.81295110383928582</v>
      </c>
      <c r="D111" s="104">
        <f>((E52*(G52-8))-(E53/100*E52*(G52-8)))-(I57+((G93-5)*(E52-E57)))</f>
        <v>-18.385331151785977</v>
      </c>
      <c r="E111" s="104">
        <f>((E52*(G52-4))-(E53/100*E52*(G52-4)))-(I57+((G93-5)*(E52-E57)))</f>
        <v>37.054668848214078</v>
      </c>
      <c r="F111" s="104">
        <f>((E52*(G52))-(E53/100*E52*(G52)))-(I57+((G93-5)*(E52-E57)))</f>
        <v>92.494668848214133</v>
      </c>
      <c r="G111" s="104">
        <f>((E52*(G52+4))-(E53/100*E52*(G52+4)))-(I57+((G93-5)*(E52-E57)))</f>
        <v>147.93466884821419</v>
      </c>
      <c r="H111" s="104">
        <f>((E52*(G52+8))-(E53/100*E52*(G52+8)))-(I57+((G93-5)*(E52-E57)))</f>
        <v>203.37466884821424</v>
      </c>
      <c r="I111" s="104">
        <f>((E52*(G52+12))-(E53/100*E52*(G52+12)))-(I57+((G93-5)*(E52-E57)))</f>
        <v>258.81466884821384</v>
      </c>
    </row>
    <row r="112" spans="1:9">
      <c r="C112" s="120">
        <f>G93/100</f>
        <v>0.86295110383928586</v>
      </c>
      <c r="D112" s="104">
        <f>((E52*(G52-8))-(E53/100*E52*(G52-8)))-(I57+(G93*(E52-E57)))</f>
        <v>-33.385331151785977</v>
      </c>
      <c r="E112" s="104">
        <f>((E52*(G52-4))-(E53/100*E52*(G52-4)))-(I57+(G93*(E52-E57)))</f>
        <v>22.054668848214078</v>
      </c>
      <c r="F112" s="104">
        <f>((E52*G52)-(E53/100*E52*G52))-(I57+(G93*(E52-E57)))</f>
        <v>77.494668848214133</v>
      </c>
      <c r="G112" s="104">
        <f>((E52*(G52+4))-(E53/100*E52*(G52+4)))-(I57+(G93*(E52-E57)))</f>
        <v>132.93466884821419</v>
      </c>
      <c r="H112" s="104">
        <f>((E52*(G52+8))-(E53/100*E52*(G52+8)))-(I57+(G93*(E52-E57)))</f>
        <v>188.37466884821424</v>
      </c>
      <c r="I112" s="104">
        <f>((E52*(G52+12))-(E53/100*E52*(G52+12)))-(I57+(G93*(E52-E57)))</f>
        <v>243.81466884821384</v>
      </c>
    </row>
    <row r="113" spans="1:10">
      <c r="C113" s="120">
        <f>G93/100+0.05</f>
        <v>0.9129511038392859</v>
      </c>
      <c r="D113" s="104">
        <f>((E52*(G52-8))-(E53/100*E52*(G52-8)))-(I57+((G93+5)*(E52-E57)))</f>
        <v>-48.385331151785977</v>
      </c>
      <c r="E113" s="104">
        <f>((E52*(G52-4))-(E53/100*E52*(G52-4)))-(I57+((G93+5)*(E52-E57)))</f>
        <v>7.054668848214078</v>
      </c>
      <c r="F113" s="104">
        <f>((E52*(G52))-(E53/100*E52*(G52)))-(I57+((G93+5)*(E52-E57)))</f>
        <v>62.494668848214133</v>
      </c>
      <c r="G113" s="104">
        <f>((E52*(G52+4))-(E53/100*E52*(G52+4)))-(I57+((G93+5)*(E52-E57)))</f>
        <v>117.93466884821419</v>
      </c>
      <c r="H113" s="104">
        <f>((E52*(G52+8))-(E53/100*E52*(G52+8)))-(I57+((G93+5)*(E52-E57)))</f>
        <v>173.37466884821424</v>
      </c>
      <c r="I113" s="104">
        <f>((E52*(G52+12))-(E53/100*E52*(G52+12)))-(I57+((G93+5)*(E52-E57)))</f>
        <v>228.81466884821384</v>
      </c>
    </row>
    <row r="114" spans="1:10">
      <c r="C114" s="120">
        <f>G93/100+0.1</f>
        <v>0.96295110383928584</v>
      </c>
      <c r="D114" s="104">
        <f>((E52*(G52-8))-(E53/100*E52*(G52-8)))-(I57+((G93+10)*(E52-E57)))</f>
        <v>-63.385331151785977</v>
      </c>
      <c r="E114" s="104">
        <f>((E52*(G52-4))-(E53/100*E52*(G52-4)))-(I57+((G93+10)*(E52-E57)))</f>
        <v>-7.945331151785922</v>
      </c>
      <c r="F114" s="104">
        <f>((E52*(G52))-(E53/100*E52*(G52)))-(I57+((G93+10)*(E52-E57)))</f>
        <v>47.494668848214133</v>
      </c>
      <c r="G114" s="104">
        <f>((E52*(G52+4))-(E53/100*E52*(G52+4)))-(I57+((G93+10)*(E52-E57)))</f>
        <v>102.93466884821419</v>
      </c>
      <c r="H114" s="104">
        <f>((E52*(G52+8))-(E53/100*E52*(G52+8)))-(I57+((G93+10)*(E52-E57)))</f>
        <v>158.37466884821424</v>
      </c>
      <c r="I114" s="104">
        <f>((E52*(G52+12))-(E53/100*E52*(G52+12)))-(I57+((G93+10)*(E52-E57)))</f>
        <v>213.81466884821384</v>
      </c>
    </row>
    <row r="115" spans="1:10">
      <c r="I115" s="23"/>
    </row>
    <row r="116" spans="1:10">
      <c r="B116" s="116" t="s">
        <v>108</v>
      </c>
      <c r="I116" s="23"/>
    </row>
    <row r="117" spans="1:10">
      <c r="B117" s="104"/>
      <c r="D117" s="7" t="s">
        <v>59</v>
      </c>
      <c r="E117" s="117">
        <f>G57+10</f>
        <v>210</v>
      </c>
      <c r="F117" s="104" t="s">
        <v>60</v>
      </c>
      <c r="H117" s="43"/>
      <c r="I117" s="104"/>
    </row>
    <row r="118" spans="1:10">
      <c r="B118" s="104"/>
      <c r="C118" s="118" t="s">
        <v>88</v>
      </c>
      <c r="E118" s="43"/>
      <c r="F118" s="104"/>
      <c r="H118" s="43"/>
      <c r="I118" s="104"/>
    </row>
    <row r="119" spans="1:10">
      <c r="A119" s="8"/>
      <c r="B119" s="8"/>
      <c r="C119" s="121" t="s">
        <v>93</v>
      </c>
      <c r="D119" s="115">
        <f>G52-8</f>
        <v>175</v>
      </c>
      <c r="E119" s="115">
        <f>G52-4</f>
        <v>179</v>
      </c>
      <c r="F119" s="115">
        <f>G52</f>
        <v>183</v>
      </c>
      <c r="G119" s="115">
        <f>G52+4</f>
        <v>187</v>
      </c>
      <c r="H119" s="115">
        <f>G52+8</f>
        <v>191</v>
      </c>
      <c r="I119" s="115">
        <f>G52+12</f>
        <v>195</v>
      </c>
    </row>
    <row r="120" spans="1:10">
      <c r="C120" s="120">
        <f>G93/100-0.1</f>
        <v>0.76295110383928588</v>
      </c>
      <c r="D120" s="104">
        <f>((E52*(G52-8))-(E53/100*E52*(G52-8)))-((E57*(G57+10))+((G93-10)*(E52-E57)))</f>
        <v>-113.38533115178598</v>
      </c>
      <c r="E120" s="104">
        <f>((E52*(G52-4))-(E53/100*E52*(G52-4)))-((E57*(G57+10))+((G93-10)*(E52-E57)))</f>
        <v>-57.945331151785922</v>
      </c>
      <c r="F120" s="104">
        <f>((E52*(G52))-(E53/100*E52*(G52)))-((E57*(G57+10))+((G93-10)*(E52-E57)))</f>
        <v>-2.5053311517858674</v>
      </c>
      <c r="G120" s="104">
        <f>((E52*(G52+4))-(E53/100*E52*(G52+4)))-((E57*(G57+10))+((G93-10)*(E52-E57)))</f>
        <v>52.934668848214187</v>
      </c>
      <c r="H120" s="104">
        <f>((E52*(G52+8))-(E53/100*E52*(G52+8)))-((E57*(G57+10))+((G93-10)*(E52-E57)))</f>
        <v>108.37466884821424</v>
      </c>
      <c r="I120" s="104">
        <f>((E52*I119)-(E53/100*E52*I119))-((E57*E117)+(C120*100*(E52-E57)))</f>
        <v>163.81466884821384</v>
      </c>
    </row>
    <row r="121" spans="1:10">
      <c r="C121" s="120">
        <f>G93/100-0.05</f>
        <v>0.81295110383928582</v>
      </c>
      <c r="D121" s="104">
        <f>((E52*(G52-8))-(E53/100*E52*(G52-8)))-((E57*(G57+10))+((G93-5)*(E52-E57)))</f>
        <v>-128.38533115178598</v>
      </c>
      <c r="E121" s="104">
        <f>((E52*(G52-4))-(E53/100*E52*(G52-4)))-((E57*(G57+10))+((G93-5)*(E52-E57)))</f>
        <v>-72.945331151785922</v>
      </c>
      <c r="F121" s="104">
        <f>((E52*(G52))-(E53/100*E52*(G52)))-((E57*(G57+10))+((G93-5)*(E52-E57)))</f>
        <v>-17.505331151785867</v>
      </c>
      <c r="G121" s="104">
        <f>((E52*(G52+4))-(E53/100*E52*(G52+4)))-((E57*(G57+10))+((G93-5)*(E52-E57)))</f>
        <v>37.934668848214187</v>
      </c>
      <c r="H121" s="104">
        <f>((E52*(G52+8))-(E53/100*E52*(G52+8)))-((E57*(G57+10))+((G93-5)*(E52-E57)))</f>
        <v>93.374668848214242</v>
      </c>
      <c r="I121" s="104">
        <f>((E52*(G52+12))-(E53/100*E52*(G52+12)))-((E57*(G57+10))+((G93-5)*(E52-E57)))</f>
        <v>148.81466884821384</v>
      </c>
    </row>
    <row r="122" spans="1:10">
      <c r="C122" s="120">
        <f>G93/100</f>
        <v>0.86295110383928586</v>
      </c>
      <c r="D122" s="104">
        <f>((E52*(G52-8))-(E53/100*E52*(G52-8)))-((E57*(G57+10))+(G93*(E52-E57)))</f>
        <v>-143.38533115178598</v>
      </c>
      <c r="E122" s="104">
        <f>((E52*(G52-4))-(E53/100*E52*(G52-4)))-((E57*(G57+10))+(G93*(E52-E57)))</f>
        <v>-87.945331151785922</v>
      </c>
      <c r="F122" s="104">
        <f>((E52*G52)-(E53/100*E52*G52))-((E57*(G57+10))+(G93*(E52-E57)))</f>
        <v>-32.505331151785867</v>
      </c>
      <c r="G122" s="104">
        <f>((E52*(G52+4))-(E53/100*E52*(G52+4)))-((E57*(G57+10))+(G93*(E52-E57)))</f>
        <v>22.934668848214187</v>
      </c>
      <c r="H122" s="104">
        <f>((E52*(G52+8))-(E53/100*E52*(G52+8)))-((E57*(G57+10))+(G93*(E52-E57)))</f>
        <v>78.374668848214242</v>
      </c>
      <c r="I122" s="104">
        <f>((E52*(G52+12))-(E53/100*E52*(G52+12)))-((E57*(G57+10))+(G93*(E52-E57)))</f>
        <v>133.81466884821384</v>
      </c>
    </row>
    <row r="123" spans="1:10">
      <c r="C123" s="120">
        <f>G93/100+0.05</f>
        <v>0.9129511038392859</v>
      </c>
      <c r="D123" s="104">
        <f>((E52*(G52-8))-(E53/100*E52*(G52-8)))-((E57*(G57+10))+((G93+5)*(E52-E57)))</f>
        <v>-158.38533115178598</v>
      </c>
      <c r="E123" s="104">
        <f>((E52*(G52-4))-(E53/100*E52*(G52-4)))-((E57*(G57+10))+((G93+5)*(E52-E57)))</f>
        <v>-102.94533115178592</v>
      </c>
      <c r="F123" s="104">
        <f>((E52*(G52))-(E53/100*E52*(G52)))-((E57*(G57+10))+((G93+5)*(E52-E57)))</f>
        <v>-47.505331151785867</v>
      </c>
      <c r="G123" s="104">
        <f>((E52*(G52+4))-(E53/100*E52*(G52+4)))-((E57*(G57+10))+((G93+5)*(E52-E57)))</f>
        <v>7.9346688482141872</v>
      </c>
      <c r="H123" s="104">
        <f>((E52*(G52+8))-(E53/100*E52*(G52+8)))-((E57*(G57+10))+((G93+5)*(E52-E57)))</f>
        <v>63.374668848214242</v>
      </c>
      <c r="I123" s="104">
        <f>((E52*(G52+12))-(E53/100*E52*(G52+12)))-((E57*(G57+10))+((G93+5)*(E52-E57)))</f>
        <v>118.81466884821384</v>
      </c>
    </row>
    <row r="124" spans="1:10">
      <c r="C124" s="120">
        <f>G93/100+0.1</f>
        <v>0.96295110383928584</v>
      </c>
      <c r="D124" s="104">
        <f>((E52*(G52-8))-(E53/100*E52*(G52-8)))-((E57*(G57+10))+((G93+10)*(E52-E57)))</f>
        <v>-173.38533115178598</v>
      </c>
      <c r="E124" s="104">
        <f>((E52*(G52-4))-(E53/100*E75*(G52-4)))-((E57*(G57+10))+((G93+10)*(E52-E57)))</f>
        <v>-92.885331151785977</v>
      </c>
      <c r="F124" s="104">
        <f>((E52*(G52))-(E53/100*E52*(G52)))-((E57*(G57+10))+((G93+10)*(E52-E57)))</f>
        <v>-62.505331151785867</v>
      </c>
      <c r="G124" s="104">
        <f>((E52*(G52+4))-(E53/100*E52*(G52+4)))-((E57*(G57+10))+((G93+10)*(E52-E57)))</f>
        <v>-7.0653311517858128</v>
      </c>
      <c r="H124" s="104">
        <f>((E52*(G52+8))-(E53/100*E52*(G52+8)))-((E57*(G57+10))+((G93+10)*(E52-E57)))</f>
        <v>48.374668848214242</v>
      </c>
      <c r="I124" s="104">
        <f>((E52*(G52+12))-(E53/100*E52*(G52+12)))-((E57*(G57+10))+((G93+10)*(E52-E57)))</f>
        <v>103.81466884821384</v>
      </c>
    </row>
    <row r="126" spans="1:10">
      <c r="A126" s="5"/>
      <c r="B126" s="5"/>
      <c r="C126" s="5"/>
      <c r="D126" s="5"/>
      <c r="E126" s="5"/>
      <c r="F126" s="5"/>
      <c r="G126" s="5"/>
      <c r="H126" s="5"/>
      <c r="I126" s="5"/>
      <c r="J126" s="23"/>
    </row>
    <row r="127" spans="1:10">
      <c r="A127" s="5"/>
      <c r="B127" s="5"/>
      <c r="C127" s="5"/>
      <c r="D127" s="5"/>
      <c r="E127" s="5"/>
      <c r="F127" s="5"/>
      <c r="G127" s="5"/>
      <c r="H127" s="5"/>
      <c r="I127" s="5"/>
      <c r="J127" s="23"/>
    </row>
    <row r="128" spans="1:10">
      <c r="A128" s="23"/>
      <c r="J128" s="23"/>
    </row>
    <row r="129" spans="1:10">
      <c r="A129" s="125"/>
      <c r="B129" s="125"/>
      <c r="C129" s="125"/>
      <c r="D129" s="125"/>
      <c r="E129" s="125"/>
      <c r="F129" s="125"/>
      <c r="G129" s="125"/>
      <c r="H129" s="125"/>
      <c r="I129" s="125"/>
      <c r="J129" s="23"/>
    </row>
    <row r="130" spans="1:10">
      <c r="A130" s="125"/>
      <c r="B130" s="144"/>
      <c r="C130" s="144"/>
      <c r="D130" s="144"/>
      <c r="E130" s="144"/>
      <c r="F130" s="144"/>
      <c r="G130" s="144"/>
      <c r="H130" s="144"/>
      <c r="I130" s="144"/>
    </row>
    <row r="131" spans="1:10">
      <c r="G131" s="43"/>
    </row>
    <row r="132" spans="1:10">
      <c r="A132" s="5"/>
      <c r="B132" s="5"/>
      <c r="C132" s="5"/>
      <c r="D132" s="5"/>
      <c r="E132" s="5"/>
      <c r="F132" s="5"/>
      <c r="G132" s="5"/>
      <c r="H132" s="5"/>
      <c r="I132" s="5"/>
    </row>
    <row r="133" spans="1:10">
      <c r="A133" s="5"/>
      <c r="B133" s="5"/>
      <c r="C133" s="5"/>
      <c r="D133" s="5"/>
      <c r="E133" s="5"/>
      <c r="F133" s="5"/>
      <c r="G133" s="5"/>
      <c r="H133" s="5"/>
      <c r="I133" s="5"/>
    </row>
    <row r="134" spans="1:10">
      <c r="A134" s="23"/>
      <c r="G134" s="43"/>
    </row>
    <row r="136" spans="1:10">
      <c r="A136" s="123"/>
    </row>
    <row r="138" spans="1:10">
      <c r="A138" s="23"/>
    </row>
    <row r="139" spans="1:10">
      <c r="A139" s="123"/>
    </row>
    <row r="140" spans="1:10">
      <c r="A140" s="23"/>
    </row>
    <row r="151" spans="1:1">
      <c r="A151" s="23"/>
    </row>
  </sheetData>
  <sheetProtection algorithmName="SHA-512" hashValue="zX/wC7CUxE4QZSH7akiMEbdGhxFKuz41SZKog03TiON/Lc/GFcDGf7SIU3sepaV/rsW1Z2GGmRzqOCX5MjyFyQ==" saltValue="yjTR+L3OR1Im0k/8gqEzcQ==" spinCount="100000" sheet="1" objects="1" scenarios="1"/>
  <conditionalFormatting sqref="D99:I103">
    <cfRule type="colorScale" priority="4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6">
      <colorScale>
        <cfvo type="num" val="0"/>
        <cfvo type="percentile" val="50"/>
        <cfvo type="max"/>
        <color rgb="FFF8696B"/>
        <color rgb="FFFFEB84"/>
        <color rgb="FF63BE7B"/>
      </colorScale>
    </cfRule>
  </conditionalFormatting>
  <conditionalFormatting sqref="D110:I114">
    <cfRule type="colorScale" priority="5">
      <colorScale>
        <cfvo type="num" val="0"/>
        <cfvo type="num" val="1"/>
        <cfvo type="max"/>
        <color rgb="FFF8696B"/>
        <color rgb="FFFFEB84"/>
        <color rgb="FF63BE7B"/>
      </colorScale>
    </cfRule>
  </conditionalFormatting>
  <conditionalFormatting sqref="D120:I124">
    <cfRule type="colorScale" priority="2">
      <colorScale>
        <cfvo type="num" val="0"/>
        <cfvo type="num" val="1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2">
    <cfRule type="iconSet" priority="1">
      <iconSet>
        <cfvo type="percent" val="0"/>
        <cfvo type="percent" val="33"/>
        <cfvo type="percent" val="67"/>
      </iconSet>
    </cfRule>
  </conditionalFormatting>
  <pageMargins left="0.25" right="0.25" top="0.25" bottom="0.25" header="0.3" footer="0.3"/>
  <pageSetup scale="94" fitToHeight="0" orientation="portrait" r:id="rId1"/>
  <rowBreaks count="1" manualBreakCount="1">
    <brk id="89" max="16383" man="1"/>
  </row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lorScale" priority="35" id="{42F8A91C-9E7D-4B04-8FD1-D5DA7444562F}">
            <x14:colorScale>
              <x14:cfvo type="min"/>
              <x14:cfvo type="num">
                <xm:f>'Background Nov-Feb'!$I$95</xm:f>
              </x14:cfvo>
              <x14:cfvo type="max"/>
              <x14:color rgb="FFF8696B"/>
              <x14:color rgb="FFFFEB84"/>
              <x14:color rgb="FF63BE7B"/>
            </x14:colorScale>
          </x14:cfRule>
          <xm:sqref>D99:I103</xm:sqref>
        </x14:conditionalFormatting>
        <x14:conditionalFormatting xmlns:xm="http://schemas.microsoft.com/office/excel/2006/main">
          <x14:cfRule type="colorScale" priority="36" id="{8E232902-2786-4F7F-96A1-367FBF226712}">
            <x14:colorScale>
              <x14:cfvo type="min"/>
              <x14:cfvo type="num">
                <xm:f>'Background Nov-Feb'!$I$95</xm:f>
              </x14:cfvo>
              <x14:cfvo type="max"/>
              <x14:color rgb="FFF8696B"/>
              <x14:color rgb="FFFFEB84"/>
              <x14:color rgb="FF63BE7B"/>
            </x14:colorScale>
          </x14:cfRule>
          <xm:sqref>D110:I114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Read Me</vt:lpstr>
      <vt:lpstr>10-9-2015 prices sources</vt:lpstr>
      <vt:lpstr>Step 1 - Feed Cost Input Sheet </vt:lpstr>
      <vt:lpstr>Heifer Development</vt:lpstr>
      <vt:lpstr>Beef Cow Only</vt:lpstr>
      <vt:lpstr>Background Nov-Feb</vt:lpstr>
      <vt:lpstr>Finish Steers</vt:lpstr>
      <vt:lpstr>Background Yearlings 750-1100#</vt:lpstr>
      <vt:lpstr>Finish Yearlings 1100-1400</vt:lpstr>
      <vt:lpstr>Contact</vt:lpstr>
      <vt:lpstr>'Background Nov-Feb'!Print_Area</vt:lpstr>
      <vt:lpstr>'Background Yearlings 750-1100#'!Print_Area</vt:lpstr>
      <vt:lpstr>'Beef Cow Only'!Print_Area</vt:lpstr>
      <vt:lpstr>Contact!Print_Area</vt:lpstr>
      <vt:lpstr>'Finish Steers'!Print_Area</vt:lpstr>
      <vt:lpstr>'Finish Yearlings 1100-1400'!Print_Area</vt:lpstr>
      <vt:lpstr>'Heifer Development'!Print_Area</vt:lpstr>
      <vt:lpstr>'Read Me'!Print_Area</vt:lpstr>
      <vt:lpstr>'Step 1 - Feed Cost Input Sheet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SDSU Extension Beef Cattle Enterprise Budgets</dc:title>
  <dc:subject/>
  <dc:creator>Heather Gessner</dc:creator>
  <cp:keywords/>
  <dc:description/>
  <cp:lastModifiedBy>Moorse, Kira</cp:lastModifiedBy>
  <cp:lastPrinted>2026-01-07T17:31:33Z</cp:lastPrinted>
  <dcterms:created xsi:type="dcterms:W3CDTF">2006-01-17T20:26:47Z</dcterms:created>
  <dcterms:modified xsi:type="dcterms:W3CDTF">2026-05-22T15:29:34Z</dcterms:modified>
  <cp:category/>
</cp:coreProperties>
</file>