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iragifford/Desktop/P-00362-Share-Lease-Calculator/03-Final/"/>
    </mc:Choice>
  </mc:AlternateContent>
  <xr:revisionPtr revIDLastSave="0" documentId="13_ncr:1_{637C1D4B-2B75-0C46-84F8-FE8A1938D90A}" xr6:coauthVersionLast="47" xr6:coauthVersionMax="47" xr10:uidLastSave="{00000000-0000-0000-0000-000000000000}"/>
  <bookViews>
    <workbookView xWindow="12560" yWindow="600" windowWidth="38640" windowHeight="21120" tabRatio="827" xr2:uid="{00000000-000D-0000-FFFF-FFFF00000000}"/>
  </bookViews>
  <sheets>
    <sheet name="Read Me" sheetId="17" r:id="rId1"/>
    <sheet name="10-9-2015 prices sources" sheetId="18" state="hidden" r:id="rId2"/>
    <sheet name="Cow Herd Description" sheetId="14" r:id="rId3"/>
    <sheet name="Production Expenses" sheetId="16" r:id="rId4"/>
    <sheet name="Analysis" sheetId="9" r:id="rId5"/>
    <sheet name="Contact" sheetId="20" r:id="rId6"/>
  </sheets>
  <definedNames>
    <definedName name="AvgCowInvest">'Cow Herd Description'!$D$34</definedName>
    <definedName name="AvgCowValue">'Cow Herd Description'!$E$13</definedName>
    <definedName name="Bull_Invest_per_cow">'Cow Herd Description'!$D$35</definedName>
    <definedName name="Bull_Life">'Cow Herd Description'!$E$19</definedName>
    <definedName name="BullValue">'Cow Herd Description'!$E$17</definedName>
    <definedName name="CowOwnerInvestment">'Cow Herd Description'!$E$36</definedName>
    <definedName name="CowSalvageValue">'Cow Herd Description'!$E$14</definedName>
    <definedName name="Cull_Bull_Value">'Cow Herd Description'!$E$18</definedName>
    <definedName name="HeiferPrice">Analysis!$E$19</definedName>
    <definedName name="HeiferWt">Analysis!$D$19</definedName>
    <definedName name="InterestRate">'Cow Herd Description'!$E$20</definedName>
    <definedName name="NumberBulls">'Cow Herd Description'!$E$12</definedName>
    <definedName name="NumberCows">'Cow Herd Description'!$E$11</definedName>
    <definedName name="OperaterContribution">'Production Expenses'!$G$40</definedName>
    <definedName name="OperatingExpense">'Production Expenses'!$D$13:$D$25</definedName>
    <definedName name="OperatorShare">Analysis!$I$12</definedName>
    <definedName name="OwnerContribution">'Production Expenses'!$I$40</definedName>
    <definedName name="OwnerShare">Analysis!$K$12</definedName>
    <definedName name="_xlnm.Print_Area" localSheetId="4">Analysis!$A$45:$I$112</definedName>
    <definedName name="_xlnm.Print_Area" localSheetId="5">Contact!$A$2:$N$22</definedName>
    <definedName name="_xlnm.Print_Area" localSheetId="2">'Cow Herd Description'!$A$57:$I$101</definedName>
    <definedName name="_xlnm.Print_Area" localSheetId="3">'Production Expenses'!$A$1:$H$34</definedName>
    <definedName name="_xlnm.Print_Area" localSheetId="0">'Read Me'!$A$1:$L$37</definedName>
    <definedName name="Print_Area_MI" localSheetId="2">#REF!</definedName>
    <definedName name="Print_Area_MI">#REF!</definedName>
    <definedName name="ReplacementRate">'Cow Herd Description'!$E$15</definedName>
    <definedName name="SteerPrice">Analysis!$E$18</definedName>
    <definedName name="SteerWt">Analysis!$D$18</definedName>
    <definedName name="TotalContribute">'Production Expenses'!$D$40</definedName>
    <definedName name="WeanPercent">Analysis!$E$16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6" l="1"/>
  <c r="F34" i="16"/>
  <c r="H34" i="16" s="1"/>
  <c r="F33" i="16"/>
  <c r="F32" i="16"/>
  <c r="H32" i="16" s="1"/>
  <c r="F31" i="16"/>
  <c r="H31" i="16" s="1"/>
  <c r="I20" i="9"/>
  <c r="G23" i="9"/>
  <c r="G22" i="9"/>
  <c r="I22" i="9" s="1"/>
  <c r="G21" i="9"/>
  <c r="G20" i="9"/>
  <c r="K20" i="9" s="1"/>
  <c r="G19" i="9"/>
  <c r="G18" i="9"/>
  <c r="D36" i="16"/>
  <c r="D35" i="16"/>
  <c r="D34" i="16"/>
  <c r="D33" i="16"/>
  <c r="D32" i="16"/>
  <c r="D31" i="16"/>
  <c r="D35" i="14"/>
  <c r="E35" i="14" s="1"/>
  <c r="D34" i="14"/>
  <c r="E34" i="14" s="1"/>
  <c r="H37" i="16"/>
  <c r="I37" i="16" s="1"/>
  <c r="G37" i="16"/>
  <c r="H33" i="16"/>
  <c r="H30" i="16"/>
  <c r="I30" i="16" s="1"/>
  <c r="G30" i="16"/>
  <c r="H25" i="16"/>
  <c r="I25" i="16" s="1"/>
  <c r="G25" i="16"/>
  <c r="H24" i="16"/>
  <c r="I24" i="16" s="1"/>
  <c r="G24" i="16"/>
  <c r="I23" i="16"/>
  <c r="H23" i="16"/>
  <c r="G23" i="16"/>
  <c r="H22" i="16"/>
  <c r="I22" i="16" s="1"/>
  <c r="G22" i="16"/>
  <c r="H21" i="16"/>
  <c r="I21" i="16" s="1"/>
  <c r="G21" i="16"/>
  <c r="H20" i="16"/>
  <c r="I20" i="16" s="1"/>
  <c r="G20" i="16"/>
  <c r="H19" i="16"/>
  <c r="I19" i="16" s="1"/>
  <c r="G19" i="16"/>
  <c r="G26" i="16" s="1"/>
  <c r="H18" i="16"/>
  <c r="I18" i="16" s="1"/>
  <c r="G18" i="16"/>
  <c r="H15" i="16"/>
  <c r="D15" i="16"/>
  <c r="H14" i="16"/>
  <c r="I14" i="16" s="1"/>
  <c r="G14" i="16"/>
  <c r="H13" i="16"/>
  <c r="D13" i="16"/>
  <c r="D26" i="16" s="1"/>
  <c r="F27" i="14"/>
  <c r="F36" i="16" s="1"/>
  <c r="H36" i="16" s="1"/>
  <c r="F25" i="14"/>
  <c r="C8" i="18"/>
  <c r="C5" i="18"/>
  <c r="C4" i="18"/>
  <c r="C3" i="18"/>
  <c r="C6" i="18"/>
  <c r="F35" i="16" l="1"/>
  <c r="H35" i="16" s="1"/>
  <c r="G13" i="16"/>
  <c r="I23" i="9"/>
  <c r="I21" i="9"/>
  <c r="K22" i="9"/>
  <c r="E36" i="14"/>
  <c r="K21" i="9"/>
  <c r="K23" i="9"/>
  <c r="G24" i="9"/>
  <c r="G36" i="16"/>
  <c r="I36" i="16"/>
  <c r="G35" i="16"/>
  <c r="I35" i="16"/>
  <c r="I34" i="16"/>
  <c r="G34" i="16"/>
  <c r="G33" i="16"/>
  <c r="I33" i="16"/>
  <c r="I32" i="16"/>
  <c r="G32" i="16"/>
  <c r="I31" i="16"/>
  <c r="G31" i="16"/>
  <c r="G15" i="16"/>
  <c r="I15" i="16"/>
  <c r="G27" i="16"/>
  <c r="I25" i="9" s="1"/>
  <c r="D27" i="16"/>
  <c r="I13" i="16"/>
  <c r="G38" i="16" l="1"/>
  <c r="G39" i="16" s="1"/>
  <c r="G40" i="16" s="1"/>
  <c r="I27" i="16"/>
  <c r="K25" i="9" s="1"/>
  <c r="D38" i="16"/>
  <c r="D39" i="16" s="1"/>
  <c r="D40" i="16" s="1"/>
  <c r="E10" i="9" s="1"/>
  <c r="I10" i="9" l="1"/>
  <c r="I12" i="9"/>
  <c r="I38" i="16"/>
  <c r="I39" i="16" s="1"/>
  <c r="I40" i="16" s="1"/>
  <c r="K10" i="9" l="1"/>
  <c r="K12" i="9"/>
  <c r="I18" i="9"/>
  <c r="I19" i="9"/>
  <c r="K19" i="9" l="1"/>
  <c r="K18" i="9"/>
  <c r="I24" i="9"/>
  <c r="I27" i="9" s="1"/>
  <c r="K24" i="9" l="1"/>
  <c r="K27" i="9" s="1"/>
  <c r="K29" i="9" s="1"/>
</calcChain>
</file>

<file path=xl/sharedStrings.xml><?xml version="1.0" encoding="utf-8"?>
<sst xmlns="http://schemas.openxmlformats.org/spreadsheetml/2006/main" count="223" uniqueCount="198">
  <si>
    <t>Alfalfa</t>
  </si>
  <si>
    <t>CME 10/8</t>
  </si>
  <si>
    <t>basis</t>
  </si>
  <si>
    <t>price</t>
  </si>
  <si>
    <t>average</t>
  </si>
  <si>
    <t>70% of average</t>
  </si>
  <si>
    <t>Corn</t>
  </si>
  <si>
    <t>Western SD</t>
  </si>
  <si>
    <t>Alfalfa Large Round: Good 70.00; Fair 40.00-55.00. Large</t>
  </si>
  <si>
    <t>Squares: Premium 180.00-195.00; Premium/Good 140.00; Good</t>
  </si>
  <si>
    <t>90.00. Alfalfa/Grass Large Squares: Premium 125.00;</t>
  </si>
  <si>
    <t>Premium/Good 90.00; Good 75.00-87.00.</t>
  </si>
  <si>
    <t>Pipestone, MN Hay and Straw Auction One</t>
  </si>
  <si>
    <t>load Small Squares is 2-3 tons; Large Square and Large Round</t>
  </si>
  <si>
    <t>range 5-25 tons per load. Receipts: 18 Loads. Alfalfa: Fair: Large</t>
  </si>
  <si>
    <t>Rounds, 2 loads 75.00-85.00; Small Squares, 1 load 4.00 per bale.</t>
  </si>
  <si>
    <t>Grass: Grass: Premium: Large Rounds, 1 load 90.00. Good: Large</t>
  </si>
  <si>
    <t>Rounds, 4 loads 70.00-85.00. Fair: Large Rounds, 3 loads 50.00-</t>
  </si>
  <si>
    <t>65.00. Utility: Large Rounds, 1 load 40.00.</t>
  </si>
  <si>
    <t>Mixed Alfalfa/Grass: Good: Large Rounds, 5 loads 80.00-90.00.</t>
  </si>
  <si>
    <t>Utility: Large Rounds, 1 load 40.00.</t>
  </si>
  <si>
    <t>Rock Valley Hay Auction 10/01/15 One load Small</t>
  </si>
  <si>
    <t>Square approx. 5 tons; Large Square and Round 10-25 tons per</t>
  </si>
  <si>
    <t>load. Receipts: 78 loads. Alfalfa: Good: Large Squares and</t>
  </si>
  <si>
    <t>Rounds, 6 loads 125.00-150.00. Fair: Large Squares and Rounds, 9</t>
  </si>
  <si>
    <t>loads 100.00-115.00. Utility: Large Squares and Rounds, 17 loads</t>
  </si>
  <si>
    <t>80.00-97.50. Alfalfa/Grass Mix: Good: Large Rounds, 2 loads</t>
  </si>
  <si>
    <t>102.50-112.50. Fair: Large Rounds, 2 loads 85.00. Grass:</t>
  </si>
  <si>
    <t>Premium: Large Rounds, 2 loads 155.00. Good: Large Squares and</t>
  </si>
  <si>
    <t>Rounds, 13 loads 90.00-125.00; Small Squares, 1 load 135.00. Fair:</t>
  </si>
  <si>
    <t>Large Rounds, 10 loads 70.00-82.50. Straw: Large Squares and</t>
  </si>
  <si>
    <t>Rounds, 13 loads 60.00-87.5075.00-80.00. Cornstalks: Large</t>
  </si>
  <si>
    <t>ROunds, 3 loads 40.00-57.50.</t>
  </si>
  <si>
    <t>Premium</t>
  </si>
  <si>
    <t>Premium/Good</t>
  </si>
  <si>
    <t>Good</t>
  </si>
  <si>
    <t>Good/fair</t>
  </si>
  <si>
    <t xml:space="preserve">Fair </t>
  </si>
  <si>
    <t>40-55</t>
  </si>
  <si>
    <t>180-195</t>
  </si>
  <si>
    <t>Alfalfa/grass</t>
  </si>
  <si>
    <t>Rounds</t>
  </si>
  <si>
    <t>Squares</t>
  </si>
  <si>
    <t>75-87</t>
  </si>
  <si>
    <t>75-85</t>
  </si>
  <si>
    <t>rounds</t>
  </si>
  <si>
    <t>grass</t>
  </si>
  <si>
    <t>70-85</t>
  </si>
  <si>
    <t>50-65</t>
  </si>
  <si>
    <t>alfalfa/grass</t>
  </si>
  <si>
    <t>80-90</t>
  </si>
  <si>
    <t>Utility</t>
  </si>
  <si>
    <t>alfalfa</t>
  </si>
  <si>
    <t>125-150</t>
  </si>
  <si>
    <t>100-115</t>
  </si>
  <si>
    <t>80-97.50</t>
  </si>
  <si>
    <t>rounds and squares</t>
  </si>
  <si>
    <t>102.5-112.5</t>
  </si>
  <si>
    <t>90-125</t>
  </si>
  <si>
    <t>70-82.50</t>
  </si>
  <si>
    <t>straw</t>
  </si>
  <si>
    <t>60-80</t>
  </si>
  <si>
    <t xml:space="preserve">corn stalk </t>
  </si>
  <si>
    <t>s</t>
  </si>
  <si>
    <t>40-57.50</t>
  </si>
  <si>
    <t xml:space="preserve">Distillers Products - </t>
  </si>
  <si>
    <t>Wentworth</t>
  </si>
  <si>
    <t xml:space="preserve">Dry </t>
  </si>
  <si>
    <t>Modified</t>
  </si>
  <si>
    <t>Syrup</t>
  </si>
  <si>
    <t>32% solids</t>
  </si>
  <si>
    <t>Mineral &amp; Salt</t>
  </si>
  <si>
    <t>Live Cattle</t>
  </si>
  <si>
    <t>Oct</t>
  </si>
  <si>
    <t>Dec</t>
  </si>
  <si>
    <t>Feb</t>
  </si>
  <si>
    <t>Apr</t>
  </si>
  <si>
    <t>Jun</t>
  </si>
  <si>
    <t>Aug</t>
  </si>
  <si>
    <t>Feeder Cattle</t>
  </si>
  <si>
    <t>Nov</t>
  </si>
  <si>
    <t>Jan</t>
  </si>
  <si>
    <t>Mar</t>
  </si>
  <si>
    <t>May</t>
  </si>
  <si>
    <t>Sept</t>
  </si>
  <si>
    <t>---</t>
  </si>
  <si>
    <t>Read Me</t>
  </si>
  <si>
    <t xml:space="preserve">South Dakota State University Extension is an equal opportunity provider and employer in accordance </t>
  </si>
  <si>
    <t xml:space="preserve">with the nondiscrimination policies of South Dakota State University, the South Dakota Board of Regents </t>
  </si>
  <si>
    <t xml:space="preserve">and the United States Department of Agriculture. </t>
  </si>
  <si>
    <r>
      <rPr>
        <sz val="12"/>
        <color theme="1"/>
        <rFont val="Arial"/>
        <family val="2"/>
      </rPr>
      <t xml:space="preserve">Learn more at </t>
    </r>
    <r>
      <rPr>
        <u/>
        <sz val="12"/>
        <color theme="10"/>
        <rFont val="Arial"/>
        <family val="2"/>
      </rPr>
      <t>extension.sdstate.edu.</t>
    </r>
  </si>
  <si>
    <t>Location</t>
  </si>
  <si>
    <t>Phone</t>
  </si>
  <si>
    <t>Email</t>
  </si>
  <si>
    <t>Website</t>
  </si>
  <si>
    <t xml:space="preserve">extension.sdstate.edu </t>
  </si>
  <si>
    <t>SDSU Extension Cow-Calf Share Lease Calculator</t>
  </si>
  <si>
    <t xml:space="preserve">how to split a calf crop between the cow owner and the operator based on contributions made by each party. </t>
  </si>
  <si>
    <t xml:space="preserve">The SDSU Extension Cow-Calf Share Lease Calculator was designed to help livestock producers determine </t>
  </si>
  <si>
    <t xml:space="preserve">including average cow and bull value (inventory and salvage value). The percentage of cattle ownership can be </t>
  </si>
  <si>
    <t>cowherd.  Replacement rate and interest rate on investments are entered here to determine true asset ownership costs.</t>
  </si>
  <si>
    <t>users should use their own estimates whenever possible. A management charge of 10% is also included.</t>
  </si>
  <si>
    <t>each party). This section also shows expected returns to each party based on entered values for weaning percentage</t>
  </si>
  <si>
    <t xml:space="preserve">and weights and cattle value at weaning. </t>
  </si>
  <si>
    <t xml:space="preserve">This calculator is not designed to determine arrangements where cattle ownership is shared past weaning, either for </t>
  </si>
  <si>
    <t>backgrounding or heifer development. These business arrangements should be covered by a separate agreement.</t>
  </si>
  <si>
    <t xml:space="preserve">The authors of this workbook provide it as an educational tool and assume no liability for use or misuse of this workbook </t>
  </si>
  <si>
    <t>or the resulting decisions.</t>
  </si>
  <si>
    <t>Herd Description</t>
  </si>
  <si>
    <t>Herd Description &amp; Assumptions</t>
  </si>
  <si>
    <t>Number of cows</t>
  </si>
  <si>
    <t>Number of bulls</t>
  </si>
  <si>
    <t>Average cow value, $/head</t>
  </si>
  <si>
    <t>Cull cull salvage value, $/head</t>
  </si>
  <si>
    <t>Replacement rate, %</t>
  </si>
  <si>
    <t>Female replacement cost, $/head</t>
  </si>
  <si>
    <t>Bull value, $/head</t>
  </si>
  <si>
    <t>Cull bull salvage value, $/head</t>
  </si>
  <si>
    <t>Expected useful life of bulls, years</t>
  </si>
  <si>
    <t>Annual cost of capital, %</t>
  </si>
  <si>
    <t>Note: use either loan interest rate or desired rate of return</t>
  </si>
  <si>
    <t>Ownership Percentages</t>
  </si>
  <si>
    <t>Owner</t>
  </si>
  <si>
    <t>Operator</t>
  </si>
  <si>
    <t>Cowherd</t>
  </si>
  <si>
    <t>Bull battery</t>
  </si>
  <si>
    <t>Production Expenses</t>
  </si>
  <si>
    <t>Total Cost</t>
  </si>
  <si>
    <t>Cow Owner</t>
  </si>
  <si>
    <t>Cash Production Expense</t>
  </si>
  <si>
    <t>$/cow</t>
  </si>
  <si>
    <t>%</t>
  </si>
  <si>
    <t>$ per Cow</t>
  </si>
  <si>
    <t>$ per cow</t>
  </si>
  <si>
    <t>Acres of pasture per cow</t>
  </si>
  <si>
    <t>Pasture cost per acre</t>
  </si>
  <si>
    <t>Pasture cost, $/cow</t>
  </si>
  <si>
    <t>Crop residue grazing expense</t>
  </si>
  <si>
    <t>Winter feed cost</t>
  </si>
  <si>
    <t>Feed cost per day</t>
  </si>
  <si>
    <t xml:space="preserve">Number of days </t>
  </si>
  <si>
    <t>Creep Feed</t>
  </si>
  <si>
    <t>Veterinary Expense</t>
  </si>
  <si>
    <t>Breeding Expense</t>
  </si>
  <si>
    <t>Marketing and Trucking</t>
  </si>
  <si>
    <t>Utilities, Fuel and Oil</t>
  </si>
  <si>
    <t>Repair &amp; Maintenance</t>
  </si>
  <si>
    <t>Miscellaneous Supplies</t>
  </si>
  <si>
    <t>Interest on Operating Cash Expenses</t>
  </si>
  <si>
    <t>Total Direct Operating Expenses</t>
  </si>
  <si>
    <t>Indirect Expenses</t>
  </si>
  <si>
    <t>Facilities &amp; Equipment Depreciation</t>
  </si>
  <si>
    <t>Interest, Cow Herd</t>
  </si>
  <si>
    <t>Depreciation, Cow Herd</t>
  </si>
  <si>
    <t>Interest, Bulls</t>
  </si>
  <si>
    <t>Depreciation, Bulls</t>
  </si>
  <si>
    <t>Management (10% of costs)</t>
  </si>
  <si>
    <t>Total Indirect and Overhead Costs</t>
  </si>
  <si>
    <t>Total of All Contributions</t>
  </si>
  <si>
    <r>
      <t>Insurance, Cow Herd</t>
    </r>
    <r>
      <rPr>
        <vertAlign val="superscript"/>
        <sz val="12"/>
        <color theme="1"/>
        <rFont val="Arial"/>
        <family val="2"/>
      </rPr>
      <t>1</t>
    </r>
  </si>
  <si>
    <r>
      <t>Insurance, Bulls</t>
    </r>
    <r>
      <rPr>
        <vertAlign val="superscript"/>
        <sz val="12"/>
        <color theme="1"/>
        <rFont val="Arial"/>
        <family val="2"/>
      </rPr>
      <t>1</t>
    </r>
  </si>
  <si>
    <r>
      <t>Labor</t>
    </r>
    <r>
      <rPr>
        <vertAlign val="superscript"/>
        <sz val="12"/>
        <color theme="1"/>
        <rFont val="Arial"/>
        <family val="2"/>
      </rPr>
      <t>2</t>
    </r>
  </si>
  <si>
    <t>Source: Structure, Management Practices and Production Costs of U.S. Beef Cow-Calf Farms. USDA Economic Research Service. 2023.</t>
  </si>
  <si>
    <t>J. Gillepsie, C. Whitt, and C. Davis</t>
  </si>
  <si>
    <t>SDSU Extension Cow-Calf Share Lease Caculator</t>
  </si>
  <si>
    <t>Analysis</t>
  </si>
  <si>
    <t>Total</t>
  </si>
  <si>
    <t>Calf Crop Share Percentage</t>
  </si>
  <si>
    <t>Profit Analysis ($/cow)</t>
  </si>
  <si>
    <t>Expected weaning percentage</t>
  </si>
  <si>
    <t>Sale wt, lbs</t>
  </si>
  <si>
    <t>$/lb</t>
  </si>
  <si>
    <t>Steer calves</t>
  </si>
  <si>
    <t>Heifer calves</t>
  </si>
  <si>
    <t>Cull cow income</t>
  </si>
  <si>
    <t>Cull bull income</t>
  </si>
  <si>
    <t>Female replacement cost</t>
  </si>
  <si>
    <t>Bull replacement cost</t>
  </si>
  <si>
    <t>Gross cash income</t>
  </si>
  <si>
    <t>Direct cash costs</t>
  </si>
  <si>
    <t>Return on Assets (cow owner)</t>
  </si>
  <si>
    <t>Management Specialist</t>
  </si>
  <si>
    <t>South Dakota State University, Animal Science Complex 217, Box 2170</t>
  </si>
  <si>
    <t>Brookings, SD 57007</t>
  </si>
  <si>
    <t>(605) 688-5452</t>
  </si>
  <si>
    <t xml:space="preserve">warren.rusche@sdstate.edu </t>
  </si>
  <si>
    <t>Average cow investment</t>
  </si>
  <si>
    <t>Bull investment per cow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</si>
  <si>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Assumed to be 1% of average investment</t>
    </r>
  </si>
  <si>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Estimated 4-10 hrs per cow, with fewer hours required with increased herd size</t>
    </r>
  </si>
  <si>
    <t>Cow owner</t>
  </si>
  <si>
    <t>Operating margin (return to capital, management &amp; labor)</t>
  </si>
  <si>
    <t>Warren Rusche</t>
  </si>
  <si>
    <t>Assistant Professor &amp; SDSU Extension Feedlot</t>
  </si>
  <si>
    <t xml:space="preserve">customized for instances where one party is not the sole owner of the livestock or if herd sire ownership differs from the </t>
  </si>
  <si>
    <t xml:space="preserve">The Analysis tab shows the percentage calf crop split (which is equal to the percentage of the total costs contributed by </t>
  </si>
  <si>
    <t xml:space="preserve">The Production Expenses tab contains the cash production expenses and indirect costs. Suggestions for some costs are included, but </t>
  </si>
  <si>
    <t xml:space="preserve">Users will enter their own data into YELLOW cells. The Cow Herd Description tab is where information about the cows are entered,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</si>
</sst>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0_)"/>
    <numFmt numFmtId="166" formatCode="&quot;$&quot;#,##0.00"/>
    <numFmt numFmtId="167" formatCode="[$-409]mmmm\ d\,\ yyyy;@"/>
    <numFmt numFmtId="168" formatCode="_([$$-409]* #,##0.00_);_([$$-409]* \(#,##0.00\);_([$$-409]* &quot;-&quot;??_);_(@_)"/>
    <numFmt numFmtId="169" formatCode="0.0%"/>
  </numFmts>
  <fonts count="29">
    <font>
      <sz val="10"/>
      <name val="Courie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6"/>
      <color rgb="FF003087"/>
      <name val="Arial"/>
      <family val="2"/>
    </font>
    <font>
      <i/>
      <sz val="12"/>
      <name val="Arial"/>
      <family val="2"/>
    </font>
    <font>
      <b/>
      <sz val="16"/>
      <name val="Arial"/>
      <family val="2"/>
    </font>
    <font>
      <b/>
      <sz val="14"/>
      <color rgb="FF003087"/>
      <name val="Arial"/>
      <family val="2"/>
    </font>
    <font>
      <b/>
      <sz val="14"/>
      <color rgb="FF0034A7"/>
      <name val="Arial"/>
      <family val="2"/>
    </font>
    <font>
      <u/>
      <sz val="10"/>
      <color theme="10"/>
      <name val="Courier"/>
      <family val="1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6"/>
      <color rgb="FF0034A7"/>
      <name val="Arial"/>
      <family val="2"/>
    </font>
    <font>
      <sz val="14"/>
      <color theme="1"/>
      <name val="Arial"/>
      <family val="2"/>
    </font>
    <font>
      <b/>
      <sz val="26"/>
      <color rgb="FF0034A7"/>
      <name val="Arial"/>
      <family val="2"/>
    </font>
    <font>
      <sz val="12"/>
      <color rgb="FF000000"/>
      <name val="Aptos Narrow"/>
    </font>
    <font>
      <sz val="12"/>
      <color rgb="FF00000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u val="double"/>
      <sz val="12"/>
      <color theme="1"/>
      <name val="Arial"/>
      <family val="2"/>
    </font>
    <font>
      <vertAlign val="superscript"/>
      <sz val="12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D1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164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1" fillId="0" borderId="0"/>
    <xf numFmtId="164" fontId="13" fillId="0" borderId="0" applyNumberFormat="0" applyFill="0" applyBorder="0" applyAlignment="0" applyProtection="0"/>
  </cellStyleXfs>
  <cellXfs count="125">
    <xf numFmtId="164" fontId="0" fillId="0" borderId="0" xfId="0"/>
    <xf numFmtId="164" fontId="2" fillId="0" borderId="0" xfId="0" applyFont="1"/>
    <xf numFmtId="164" fontId="2" fillId="0" borderId="0" xfId="0" applyFont="1" applyAlignment="1">
      <alignment horizontal="right"/>
    </xf>
    <xf numFmtId="164" fontId="2" fillId="0" borderId="0" xfId="0" quotePrefix="1" applyFont="1"/>
    <xf numFmtId="164" fontId="4" fillId="0" borderId="0" xfId="0" applyFont="1"/>
    <xf numFmtId="164" fontId="4" fillId="0" borderId="0" xfId="0" applyFont="1" applyAlignment="1">
      <alignment wrapText="1"/>
    </xf>
    <xf numFmtId="164" fontId="4" fillId="0" borderId="0" xfId="0" applyFont="1" applyAlignment="1">
      <alignment horizontal="right"/>
    </xf>
    <xf numFmtId="164" fontId="4" fillId="0" borderId="0" xfId="0" applyFont="1" applyAlignment="1">
      <alignment horizontal="center"/>
    </xf>
    <xf numFmtId="164" fontId="4" fillId="0" borderId="0" xfId="0" applyFont="1" applyAlignment="1">
      <alignment vertical="center" wrapText="1"/>
    </xf>
    <xf numFmtId="0" fontId="7" fillId="0" borderId="0" xfId="5" applyFont="1"/>
    <xf numFmtId="0" fontId="4" fillId="0" borderId="0" xfId="3" applyFont="1"/>
    <xf numFmtId="0" fontId="4" fillId="0" borderId="0" xfId="5" applyFont="1"/>
    <xf numFmtId="164" fontId="8" fillId="0" borderId="0" xfId="0" applyFont="1" applyAlignment="1">
      <alignment wrapText="1"/>
    </xf>
    <xf numFmtId="167" fontId="4" fillId="0" borderId="0" xfId="0" applyNumberFormat="1" applyFont="1"/>
    <xf numFmtId="164" fontId="4" fillId="0" borderId="0" xfId="0" applyFont="1" applyAlignment="1">
      <alignment horizontal="left"/>
    </xf>
    <xf numFmtId="164" fontId="7" fillId="0" borderId="0" xfId="0" applyFont="1" applyAlignment="1">
      <alignment horizontal="left"/>
    </xf>
    <xf numFmtId="164" fontId="7" fillId="0" borderId="0" xfId="0" applyFont="1"/>
    <xf numFmtId="164" fontId="4" fillId="0" borderId="0" xfId="0" quotePrefix="1" applyFont="1" applyAlignment="1">
      <alignment horizontal="center"/>
    </xf>
    <xf numFmtId="164" fontId="9" fillId="0" borderId="0" xfId="0" applyFont="1"/>
    <xf numFmtId="0" fontId="4" fillId="0" borderId="0" xfId="0" applyNumberFormat="1" applyFont="1" applyAlignment="1">
      <alignment horizontal="center"/>
    </xf>
    <xf numFmtId="44" fontId="7" fillId="0" borderId="0" xfId="1" applyFont="1" applyProtection="1"/>
    <xf numFmtId="164" fontId="9" fillId="0" borderId="0" xfId="0" applyFont="1" applyAlignment="1">
      <alignment wrapText="1"/>
    </xf>
    <xf numFmtId="44" fontId="6" fillId="0" borderId="0" xfId="1" applyFont="1" applyBorder="1" applyProtection="1">
      <protection locked="0"/>
    </xf>
    <xf numFmtId="166" fontId="4" fillId="0" borderId="0" xfId="0" applyNumberFormat="1" applyFont="1"/>
    <xf numFmtId="7" fontId="4" fillId="0" borderId="0" xfId="0" applyNumberFormat="1" applyFont="1"/>
    <xf numFmtId="44" fontId="4" fillId="0" borderId="0" xfId="1" applyFont="1"/>
    <xf numFmtId="44" fontId="4" fillId="0" borderId="1" xfId="1" applyFont="1" applyBorder="1"/>
    <xf numFmtId="7" fontId="7" fillId="0" borderId="0" xfId="0" applyNumberFormat="1" applyFont="1"/>
    <xf numFmtId="0" fontId="4" fillId="0" borderId="0" xfId="0" quotePrefix="1" applyNumberFormat="1" applyFont="1" applyAlignment="1">
      <alignment horizontal="center"/>
    </xf>
    <xf numFmtId="5" fontId="4" fillId="0" borderId="0" xfId="0" applyNumberFormat="1" applyFont="1"/>
    <xf numFmtId="165" fontId="4" fillId="0" borderId="0" xfId="0" applyNumberFormat="1" applyFont="1" applyAlignment="1">
      <alignment horizontal="center"/>
    </xf>
    <xf numFmtId="168" fontId="4" fillId="0" borderId="0" xfId="0" applyNumberFormat="1" applyFont="1"/>
    <xf numFmtId="164" fontId="4" fillId="0" borderId="0" xfId="0" applyFont="1" applyAlignment="1">
      <alignment vertical="top" wrapText="1"/>
    </xf>
    <xf numFmtId="164" fontId="4" fillId="0" borderId="0" xfId="0" applyFont="1" applyAlignment="1">
      <alignment horizontal="fill"/>
    </xf>
    <xf numFmtId="164" fontId="4" fillId="0" borderId="0" xfId="0" quotePrefix="1" applyFont="1" applyAlignment="1">
      <alignment horizontal="right"/>
    </xf>
    <xf numFmtId="9" fontId="4" fillId="0" borderId="0" xfId="0" applyNumberFormat="1" applyFont="1" applyAlignment="1">
      <alignment horizontal="right"/>
    </xf>
    <xf numFmtId="7" fontId="4" fillId="0" borderId="0" xfId="1" applyNumberFormat="1" applyFont="1" applyProtection="1"/>
    <xf numFmtId="44" fontId="4" fillId="0" borderId="6" xfId="1" applyFont="1" applyBorder="1" applyProtection="1"/>
    <xf numFmtId="44" fontId="7" fillId="0" borderId="5" xfId="1" applyFont="1" applyBorder="1" applyProtection="1"/>
    <xf numFmtId="7" fontId="4" fillId="0" borderId="0" xfId="0" applyNumberFormat="1" applyFont="1" applyAlignment="1">
      <alignment horizontal="fill"/>
    </xf>
    <xf numFmtId="44" fontId="4" fillId="0" borderId="4" xfId="1" applyFont="1" applyBorder="1"/>
    <xf numFmtId="44" fontId="4" fillId="0" borderId="1" xfId="0" applyNumberFormat="1" applyFont="1" applyBorder="1"/>
    <xf numFmtId="7" fontId="4" fillId="0" borderId="0" xfId="0" applyNumberFormat="1" applyFont="1" applyAlignment="1">
      <alignment horizontal="center" wrapText="1"/>
    </xf>
    <xf numFmtId="44" fontId="4" fillId="0" borderId="3" xfId="0" applyNumberFormat="1" applyFont="1" applyBorder="1" applyAlignment="1">
      <alignment horizontal="left"/>
    </xf>
    <xf numFmtId="44" fontId="4" fillId="0" borderId="0" xfId="1" applyFont="1" applyAlignment="1" applyProtection="1">
      <alignment horizontal="right"/>
    </xf>
    <xf numFmtId="164" fontId="7" fillId="0" borderId="0" xfId="0" applyFont="1" applyAlignment="1">
      <alignment vertical="top"/>
    </xf>
    <xf numFmtId="44" fontId="7" fillId="0" borderId="0" xfId="1" applyFont="1" applyBorder="1" applyProtection="1"/>
    <xf numFmtId="164" fontId="9" fillId="0" borderId="0" xfId="0" quotePrefix="1" applyFont="1" applyAlignment="1">
      <alignment wrapText="1"/>
    </xf>
    <xf numFmtId="44" fontId="4" fillId="0" borderId="0" xfId="1" applyFont="1" applyFill="1" applyBorder="1" applyProtection="1"/>
    <xf numFmtId="164" fontId="10" fillId="0" borderId="0" xfId="0" applyFont="1"/>
    <xf numFmtId="164" fontId="10" fillId="0" borderId="0" xfId="0" applyFont="1" applyAlignment="1">
      <alignment horizontal="centerContinuous"/>
    </xf>
    <xf numFmtId="0" fontId="4" fillId="0" borderId="0" xfId="5" applyFont="1" applyAlignment="1">
      <alignment vertical="top"/>
    </xf>
    <xf numFmtId="164" fontId="8" fillId="0" borderId="0" xfId="0" applyFont="1" applyAlignment="1">
      <alignment vertical="top"/>
    </xf>
    <xf numFmtId="164" fontId="8" fillId="0" borderId="0" xfId="0" applyFont="1" applyAlignment="1">
      <alignment horizontal="centerContinuous" vertical="top"/>
    </xf>
    <xf numFmtId="164" fontId="11" fillId="0" borderId="0" xfId="0" applyFont="1" applyAlignment="1">
      <alignment horizontal="centerContinuous" vertical="top"/>
    </xf>
    <xf numFmtId="167" fontId="4" fillId="0" borderId="0" xfId="0" applyNumberFormat="1" applyFont="1" applyAlignment="1">
      <alignment horizontal="centerContinuous" vertical="top"/>
    </xf>
    <xf numFmtId="164" fontId="9" fillId="0" borderId="0" xfId="0" applyFont="1" applyAlignment="1">
      <alignment vertical="top"/>
    </xf>
    <xf numFmtId="164" fontId="9" fillId="0" borderId="0" xfId="0" applyFont="1" applyAlignment="1">
      <alignment horizontal="centerContinuous"/>
    </xf>
    <xf numFmtId="167" fontId="4" fillId="0" borderId="0" xfId="0" applyNumberFormat="1" applyFont="1" applyAlignment="1">
      <alignment horizontal="centerContinuous"/>
    </xf>
    <xf numFmtId="7" fontId="4" fillId="0" borderId="0" xfId="0" applyNumberFormat="1" applyFont="1" applyAlignment="1">
      <alignment wrapText="1"/>
    </xf>
    <xf numFmtId="7" fontId="4" fillId="0" borderId="3" xfId="0" applyNumberFormat="1" applyFont="1" applyBorder="1" applyAlignment="1">
      <alignment wrapText="1"/>
    </xf>
    <xf numFmtId="7" fontId="4" fillId="0" borderId="2" xfId="0" applyNumberFormat="1" applyFont="1" applyBorder="1" applyAlignment="1">
      <alignment wrapText="1"/>
    </xf>
    <xf numFmtId="164" fontId="4" fillId="0" borderId="0" xfId="0" applyFont="1" applyAlignment="1">
      <alignment horizontal="centerContinuous"/>
    </xf>
    <xf numFmtId="164" fontId="12" fillId="0" borderId="0" xfId="0" applyFont="1" applyAlignment="1">
      <alignment horizontal="centerContinuous" vertical="top"/>
    </xf>
    <xf numFmtId="164" fontId="4" fillId="0" borderId="0" xfId="0" applyFont="1" applyAlignment="1">
      <alignment horizontal="left" vertical="top"/>
    </xf>
    <xf numFmtId="164" fontId="14" fillId="0" borderId="0" xfId="11" applyFont="1" applyBorder="1" applyAlignment="1">
      <alignment horizontal="left" vertical="top"/>
    </xf>
    <xf numFmtId="14" fontId="16" fillId="0" borderId="0" xfId="5" applyNumberFormat="1" applyFont="1"/>
    <xf numFmtId="164" fontId="17" fillId="0" borderId="0" xfId="0" applyFont="1" applyAlignment="1">
      <alignment horizontal="centerContinuous"/>
    </xf>
    <xf numFmtId="164" fontId="12" fillId="0" borderId="0" xfId="0" applyFont="1" applyAlignment="1">
      <alignment horizontal="centerContinuous"/>
    </xf>
    <xf numFmtId="164" fontId="17" fillId="0" borderId="0" xfId="0" applyFont="1"/>
    <xf numFmtId="164" fontId="15" fillId="0" borderId="0" xfId="0" applyFont="1" applyAlignment="1">
      <alignment horizontal="left"/>
    </xf>
    <xf numFmtId="164" fontId="14" fillId="0" borderId="0" xfId="11" applyFont="1" applyAlignment="1">
      <alignment horizontal="left"/>
    </xf>
    <xf numFmtId="164" fontId="18" fillId="0" borderId="0" xfId="0" applyFont="1" applyAlignment="1">
      <alignment horizontal="left"/>
    </xf>
    <xf numFmtId="164" fontId="20" fillId="0" borderId="0" xfId="0" applyFont="1"/>
    <xf numFmtId="164" fontId="21" fillId="0" borderId="0" xfId="0" applyFont="1"/>
    <xf numFmtId="168" fontId="7" fillId="0" borderId="0" xfId="0" applyNumberFormat="1" applyFont="1" applyProtection="1">
      <protection locked="0"/>
    </xf>
    <xf numFmtId="0" fontId="7" fillId="0" borderId="0" xfId="0" applyNumberFormat="1" applyFont="1" applyAlignment="1" applyProtection="1">
      <alignment horizontal="right"/>
      <protection locked="0"/>
    </xf>
    <xf numFmtId="9" fontId="7" fillId="0" borderId="0" xfId="2" applyFont="1" applyFill="1" applyAlignment="1" applyProtection="1">
      <alignment horizontal="right"/>
      <protection locked="0"/>
    </xf>
    <xf numFmtId="165" fontId="7" fillId="0" borderId="0" xfId="0" applyNumberFormat="1" applyFont="1" applyAlignment="1">
      <alignment horizontal="right"/>
    </xf>
    <xf numFmtId="44" fontId="7" fillId="0" borderId="0" xfId="1" applyFont="1" applyFill="1" applyBorder="1" applyProtection="1">
      <protection locked="0"/>
    </xf>
    <xf numFmtId="44" fontId="7" fillId="0" borderId="0" xfId="1" applyFont="1" applyFill="1" applyProtection="1">
      <protection locked="0"/>
    </xf>
    <xf numFmtId="44" fontId="7" fillId="0" borderId="0" xfId="1" applyFont="1" applyFill="1" applyAlignment="1" applyProtection="1">
      <alignment horizontal="left"/>
      <protection locked="0"/>
    </xf>
    <xf numFmtId="165" fontId="7" fillId="0" borderId="0" xfId="0" applyNumberFormat="1" applyFont="1" applyProtection="1">
      <protection locked="0"/>
    </xf>
    <xf numFmtId="44" fontId="22" fillId="0" borderId="0" xfId="1" applyFont="1" applyFill="1" applyBorder="1" applyProtection="1">
      <protection locked="0"/>
    </xf>
    <xf numFmtId="164" fontId="4" fillId="0" borderId="0" xfId="0" applyFont="1" applyAlignment="1">
      <alignment horizontal="center" wrapText="1"/>
    </xf>
    <xf numFmtId="164" fontId="6" fillId="0" borderId="0" xfId="0" applyFont="1" applyProtection="1">
      <protection locked="0"/>
    </xf>
    <xf numFmtId="164" fontId="7" fillId="0" borderId="0" xfId="0" applyFont="1" applyAlignment="1" applyProtection="1">
      <alignment horizontal="right"/>
      <protection locked="0"/>
    </xf>
    <xf numFmtId="164" fontId="5" fillId="0" borderId="0" xfId="0" applyFont="1"/>
    <xf numFmtId="164" fontId="23" fillId="0" borderId="0" xfId="0" applyFont="1"/>
    <xf numFmtId="164" fontId="15" fillId="0" borderId="0" xfId="0" applyFont="1"/>
    <xf numFmtId="9" fontId="15" fillId="0" borderId="0" xfId="0" applyNumberFormat="1" applyFont="1"/>
    <xf numFmtId="9" fontId="4" fillId="0" borderId="0" xfId="0" applyNumberFormat="1" applyFont="1"/>
    <xf numFmtId="164" fontId="23" fillId="0" borderId="0" xfId="0" applyFont="1" applyAlignment="1">
      <alignment horizontal="center"/>
    </xf>
    <xf numFmtId="164" fontId="25" fillId="0" borderId="0" xfId="0" applyFont="1"/>
    <xf numFmtId="164" fontId="26" fillId="0" borderId="0" xfId="0" applyFont="1"/>
    <xf numFmtId="164" fontId="4" fillId="2" borderId="0" xfId="0" applyFont="1" applyFill="1" applyProtection="1">
      <protection locked="0"/>
    </xf>
    <xf numFmtId="166" fontId="4" fillId="2" borderId="0" xfId="0" applyNumberFormat="1" applyFont="1" applyFill="1" applyProtection="1">
      <protection locked="0"/>
    </xf>
    <xf numFmtId="9" fontId="4" fillId="2" borderId="0" xfId="0" applyNumberFormat="1" applyFont="1" applyFill="1" applyProtection="1">
      <protection locked="0"/>
    </xf>
    <xf numFmtId="8" fontId="4" fillId="2" borderId="0" xfId="0" applyNumberFormat="1" applyFont="1" applyFill="1" applyAlignment="1" applyProtection="1">
      <alignment horizontal="right"/>
      <protection locked="0"/>
    </xf>
    <xf numFmtId="164" fontId="4" fillId="2" borderId="0" xfId="0" applyFont="1" applyFill="1" applyAlignment="1" applyProtection="1">
      <alignment horizontal="right"/>
      <protection locked="0"/>
    </xf>
    <xf numFmtId="164" fontId="4" fillId="0" borderId="0" xfId="0" applyFont="1" applyProtection="1">
      <protection locked="0"/>
    </xf>
    <xf numFmtId="44" fontId="5" fillId="0" borderId="0" xfId="1" applyFont="1" applyFill="1" applyBorder="1"/>
    <xf numFmtId="44" fontId="7" fillId="0" borderId="0" xfId="1" applyFont="1" applyFill="1" applyBorder="1" applyProtection="1"/>
    <xf numFmtId="44" fontId="4" fillId="0" borderId="0" xfId="1" applyFont="1" applyFill="1" applyBorder="1"/>
    <xf numFmtId="44" fontId="7" fillId="0" borderId="0" xfId="1" applyFont="1" applyFill="1" applyBorder="1"/>
    <xf numFmtId="164" fontId="9" fillId="0" borderId="0" xfId="0" quotePrefix="1" applyFont="1"/>
    <xf numFmtId="165" fontId="5" fillId="0" borderId="0" xfId="0" applyNumberFormat="1" applyFont="1" applyProtection="1">
      <protection locked="0"/>
    </xf>
    <xf numFmtId="164" fontId="11" fillId="0" borderId="0" xfId="0" applyFont="1" applyAlignment="1">
      <alignment vertical="top"/>
    </xf>
    <xf numFmtId="7" fontId="4" fillId="0" borderId="0" xfId="1" applyNumberFormat="1" applyFont="1" applyFill="1" applyBorder="1" applyProtection="1"/>
    <xf numFmtId="44" fontId="4" fillId="0" borderId="0" xfId="0" applyNumberFormat="1" applyFont="1"/>
    <xf numFmtId="44" fontId="4" fillId="0" borderId="0" xfId="0" applyNumberFormat="1" applyFont="1" applyAlignment="1">
      <alignment horizontal="left"/>
    </xf>
    <xf numFmtId="44" fontId="4" fillId="0" borderId="0" xfId="1" applyFont="1" applyFill="1" applyBorder="1" applyAlignment="1" applyProtection="1">
      <alignment horizontal="right"/>
    </xf>
    <xf numFmtId="9" fontId="7" fillId="0" borderId="0" xfId="2" applyFont="1" applyFill="1" applyBorder="1"/>
    <xf numFmtId="1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9" fontId="23" fillId="0" borderId="0" xfId="0" applyNumberFormat="1" applyFont="1"/>
    <xf numFmtId="8" fontId="4" fillId="0" borderId="0" xfId="0" applyNumberFormat="1" applyFont="1"/>
    <xf numFmtId="169" fontId="4" fillId="0" borderId="0" xfId="0" applyNumberFormat="1" applyFont="1"/>
    <xf numFmtId="164" fontId="22" fillId="0" borderId="0" xfId="0" applyFont="1"/>
    <xf numFmtId="164" fontId="28" fillId="0" borderId="0" xfId="0" applyFont="1"/>
    <xf numFmtId="1" fontId="15" fillId="2" borderId="0" xfId="0" applyNumberFormat="1" applyFont="1" applyFill="1" applyProtection="1">
      <protection locked="0"/>
    </xf>
    <xf numFmtId="164" fontId="15" fillId="2" borderId="0" xfId="0" applyFont="1" applyFill="1" applyProtection="1">
      <protection locked="0"/>
    </xf>
    <xf numFmtId="9" fontId="15" fillId="2" borderId="0" xfId="0" applyNumberFormat="1" applyFont="1" applyFill="1" applyProtection="1">
      <protection locked="0"/>
    </xf>
    <xf numFmtId="164" fontId="23" fillId="0" borderId="0" xfId="0" applyFont="1" applyAlignment="1">
      <alignment horizontal="center"/>
    </xf>
    <xf numFmtId="164" fontId="19" fillId="0" borderId="0" xfId="0" applyFont="1" applyAlignment="1">
      <alignment horizontal="left" vertical="top"/>
    </xf>
  </cellXfs>
  <cellStyles count="12">
    <cellStyle name="Comma 2" xfId="6" xr:uid="{00000000-0005-0000-0000-000000000000}"/>
    <cellStyle name="Currency" xfId="1" builtinId="4"/>
    <cellStyle name="Currency 2" xfId="9" xr:uid="{00000000-0005-0000-0000-000002000000}"/>
    <cellStyle name="Currency 3" xfId="4" xr:uid="{00000000-0005-0000-0000-000003000000}"/>
    <cellStyle name="Hyperlink" xfId="11" builtinId="8"/>
    <cellStyle name="Normal" xfId="0" builtinId="0"/>
    <cellStyle name="Normal 2" xfId="5" xr:uid="{00000000-0005-0000-0000-000005000000}"/>
    <cellStyle name="Normal 3" xfId="8" xr:uid="{00000000-0005-0000-0000-000006000000}"/>
    <cellStyle name="Normal 3 2" xfId="10" xr:uid="{00000000-0005-0000-0000-000007000000}"/>
    <cellStyle name="Normal 4" xfId="3" xr:uid="{00000000-0005-0000-0000-000008000000}"/>
    <cellStyle name="Percent" xfId="2" builtinId="5"/>
    <cellStyle name="Percent 2" xfId="7" xr:uid="{00000000-0005-0000-0000-00000A000000}"/>
  </cellStyles>
  <dxfs count="0"/>
  <tableStyles count="0" defaultTableStyle="TableStyleMedium9" defaultPivotStyle="PivotStyleLight16"/>
  <colors>
    <mruColors>
      <color rgb="FFFFD100"/>
      <color rgb="FF0034A7"/>
      <color rgb="FF003087"/>
      <color rgb="FF009A44"/>
      <color rgb="FF555555"/>
      <color rgb="FF0000FF"/>
      <color rgb="FFFC32F2"/>
      <color rgb="FF0303BD"/>
      <color rgb="FF265A9A"/>
      <color rgb="FF377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0</xdr:row>
      <xdr:rowOff>63500</xdr:rowOff>
    </xdr:from>
    <xdr:to>
      <xdr:col>8</xdr:col>
      <xdr:colOff>685303</xdr:colOff>
      <xdr:row>5</xdr:row>
      <xdr:rowOff>165100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B63BF6-2095-6F43-BEEC-E5C0B62C78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13301" y="63500"/>
          <a:ext cx="1790202" cy="1155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91743</xdr:colOff>
      <xdr:row>0</xdr:row>
      <xdr:rowOff>133350</xdr:rowOff>
    </xdr:from>
    <xdr:to>
      <xdr:col>8</xdr:col>
      <xdr:colOff>64251</xdr:colOff>
      <xdr:row>5</xdr:row>
      <xdr:rowOff>151130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5243" y="133350"/>
          <a:ext cx="1699708" cy="10972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300671</xdr:colOff>
      <xdr:row>1</xdr:row>
      <xdr:rowOff>19050</xdr:rowOff>
    </xdr:from>
    <xdr:to>
      <xdr:col>8</xdr:col>
      <xdr:colOff>249024</xdr:colOff>
      <xdr:row>6</xdr:row>
      <xdr:rowOff>62230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25071" y="222250"/>
          <a:ext cx="1739053" cy="11226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185437</xdr:colOff>
      <xdr:row>0</xdr:row>
      <xdr:rowOff>136525</xdr:rowOff>
    </xdr:from>
    <xdr:to>
      <xdr:col>9</xdr:col>
      <xdr:colOff>542057</xdr:colOff>
      <xdr:row>5</xdr:row>
      <xdr:rowOff>192405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75037" y="136525"/>
          <a:ext cx="1798070" cy="11607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1</xdr:row>
      <xdr:rowOff>101601</xdr:rowOff>
    </xdr:from>
    <xdr:to>
      <xdr:col>3</xdr:col>
      <xdr:colOff>610462</xdr:colOff>
      <xdr:row>4</xdr:row>
      <xdr:rowOff>152401</xdr:rowOff>
    </xdr:to>
    <xdr:pic>
      <xdr:nvPicPr>
        <xdr:cNvPr id="6" name="Picture 5" descr="SDSU Extension Logo">
          <a:extLst>
            <a:ext uri="{FF2B5EF4-FFF2-40B4-BE49-F238E27FC236}">
              <a16:creationId xmlns:a16="http://schemas.microsoft.com/office/drawing/2014/main" id="{3246FE0F-D36D-E064-A18F-DDEA917EB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279401"/>
          <a:ext cx="2464662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tension.sdstate.ed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extension.sdstate.edu/" TargetMode="External"/><Relationship Id="rId1" Type="http://schemas.openxmlformats.org/officeDocument/2006/relationships/hyperlink" Target="mailto:warren.rusche@sdstate.edu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2:J33"/>
  <sheetViews>
    <sheetView tabSelected="1" workbookViewId="0">
      <selection activeCell="B44" sqref="B44"/>
    </sheetView>
  </sheetViews>
  <sheetFormatPr baseColWidth="10" defaultColWidth="9" defaultRowHeight="16"/>
  <cols>
    <col min="1" max="1" width="11" style="4" customWidth="1"/>
    <col min="2" max="2" width="10.33203125" style="4" customWidth="1"/>
    <col min="3" max="3" width="11.33203125" style="4" customWidth="1"/>
    <col min="4" max="16384" width="9" style="4"/>
  </cols>
  <sheetData>
    <row r="2" spans="1:10" ht="20.25" customHeight="1">
      <c r="A2" s="68" t="s">
        <v>96</v>
      </c>
      <c r="B2" s="50"/>
      <c r="C2" s="67"/>
      <c r="D2" s="50"/>
      <c r="E2" s="50"/>
      <c r="F2" s="50"/>
    </row>
    <row r="3" spans="1:10" ht="15" customHeight="1">
      <c r="A3" s="68" t="s">
        <v>86</v>
      </c>
      <c r="B3" s="50"/>
      <c r="C3" s="50"/>
      <c r="D3" s="50"/>
      <c r="E3" s="50"/>
      <c r="F3" s="50"/>
    </row>
    <row r="4" spans="1:10" ht="16" customHeight="1">
      <c r="A4" s="49"/>
      <c r="B4" s="49"/>
      <c r="C4" s="49"/>
      <c r="D4" s="49"/>
      <c r="E4" s="49"/>
      <c r="F4" s="49"/>
    </row>
    <row r="6" spans="1:10">
      <c r="B6" s="66">
        <v>46023</v>
      </c>
      <c r="C6" s="10"/>
      <c r="D6" s="9"/>
      <c r="E6" s="10"/>
      <c r="F6" s="10"/>
      <c r="G6" s="10"/>
      <c r="H6" s="10"/>
      <c r="I6" s="10"/>
      <c r="J6" s="10"/>
    </row>
    <row r="7" spans="1:10">
      <c r="A7" s="9"/>
      <c r="B7" s="10"/>
      <c r="C7" s="10"/>
      <c r="D7" s="9"/>
      <c r="E7" s="10"/>
      <c r="F7" s="10"/>
      <c r="G7" s="10"/>
      <c r="H7" s="10"/>
      <c r="I7" s="10"/>
      <c r="J7" s="10"/>
    </row>
    <row r="8" spans="1:10">
      <c r="A8" s="51" t="s">
        <v>98</v>
      </c>
      <c r="B8" s="51"/>
      <c r="C8" s="51"/>
      <c r="D8" s="51"/>
      <c r="E8" s="51"/>
      <c r="F8" s="51"/>
      <c r="G8" s="51"/>
      <c r="H8" s="51"/>
      <c r="I8" s="51"/>
      <c r="J8" s="51"/>
    </row>
    <row r="9" spans="1:10">
      <c r="A9" s="51" t="s">
        <v>97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>
      <c r="A10" s="51"/>
      <c r="B10" s="51"/>
      <c r="C10" s="51"/>
      <c r="D10" s="51"/>
      <c r="E10" s="51"/>
      <c r="F10" s="51"/>
      <c r="G10" s="51"/>
      <c r="H10" s="51"/>
      <c r="I10" s="51"/>
      <c r="J10" s="51"/>
    </row>
    <row r="11" spans="1:10">
      <c r="A11" s="74" t="s">
        <v>197</v>
      </c>
      <c r="B11" s="51"/>
      <c r="C11" s="51"/>
      <c r="D11" s="51"/>
      <c r="E11" s="51"/>
      <c r="F11" s="51"/>
      <c r="G11" s="51"/>
      <c r="H11" s="51"/>
      <c r="I11" s="51"/>
      <c r="J11" s="51"/>
    </row>
    <row r="12" spans="1:10">
      <c r="A12" s="74" t="s">
        <v>99</v>
      </c>
      <c r="B12" s="51"/>
      <c r="C12" s="51"/>
      <c r="D12" s="51"/>
      <c r="E12" s="51"/>
      <c r="F12" s="51"/>
      <c r="G12" s="51"/>
      <c r="H12" s="51"/>
      <c r="I12" s="51"/>
      <c r="J12" s="51"/>
    </row>
    <row r="13" spans="1:10">
      <c r="A13" s="74" t="s">
        <v>194</v>
      </c>
      <c r="B13" s="51"/>
      <c r="C13" s="51"/>
      <c r="D13" s="51"/>
      <c r="E13" s="51"/>
      <c r="F13" s="51"/>
      <c r="G13" s="51"/>
      <c r="H13" s="51"/>
      <c r="I13" s="51"/>
      <c r="J13" s="51"/>
    </row>
    <row r="14" spans="1:10">
      <c r="A14" s="74" t="s">
        <v>100</v>
      </c>
      <c r="B14" s="51"/>
      <c r="C14" s="51"/>
      <c r="D14" s="51"/>
      <c r="E14" s="51"/>
      <c r="F14" s="51"/>
      <c r="G14" s="51"/>
      <c r="H14" s="51"/>
      <c r="I14" s="51"/>
      <c r="J14" s="51"/>
    </row>
    <row r="15" spans="1:10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6" customHeight="1">
      <c r="A16" s="74" t="s">
        <v>196</v>
      </c>
    </row>
    <row r="17" spans="1:10">
      <c r="A17" s="74" t="s">
        <v>101</v>
      </c>
    </row>
    <row r="18" spans="1:10">
      <c r="A18" s="11"/>
    </row>
    <row r="19" spans="1:10">
      <c r="A19" s="74" t="s">
        <v>195</v>
      </c>
      <c r="B19" s="11"/>
      <c r="C19" s="11"/>
      <c r="D19" s="11"/>
      <c r="E19" s="11"/>
      <c r="F19" s="11"/>
      <c r="G19" s="11"/>
      <c r="H19" s="11"/>
      <c r="I19" s="11"/>
      <c r="J19" s="11"/>
    </row>
    <row r="20" spans="1:10">
      <c r="A20" s="74" t="s">
        <v>102</v>
      </c>
      <c r="B20" s="11"/>
      <c r="C20" s="11"/>
      <c r="D20" s="11"/>
      <c r="E20" s="11"/>
      <c r="F20" s="11"/>
      <c r="G20" s="11"/>
      <c r="H20" s="11"/>
      <c r="I20" s="11"/>
      <c r="J20" s="11"/>
    </row>
    <row r="21" spans="1:10">
      <c r="A21" s="74" t="s">
        <v>103</v>
      </c>
    </row>
    <row r="22" spans="1:10">
      <c r="A22" s="73"/>
    </row>
    <row r="23" spans="1:10">
      <c r="A23" s="74" t="s">
        <v>104</v>
      </c>
    </row>
    <row r="24" spans="1:10">
      <c r="A24" s="74" t="s">
        <v>105</v>
      </c>
    </row>
    <row r="25" spans="1:10">
      <c r="A25" s="74"/>
    </row>
    <row r="26" spans="1:10">
      <c r="A26" s="74" t="s">
        <v>106</v>
      </c>
    </row>
    <row r="27" spans="1:10">
      <c r="A27" s="74" t="s">
        <v>107</v>
      </c>
    </row>
    <row r="28" spans="1:10">
      <c r="A28" s="73"/>
    </row>
    <row r="29" spans="1:10">
      <c r="A29" s="64" t="s">
        <v>87</v>
      </c>
    </row>
    <row r="30" spans="1:10">
      <c r="A30" s="64" t="s">
        <v>88</v>
      </c>
    </row>
    <row r="31" spans="1:10">
      <c r="A31" s="64" t="s">
        <v>89</v>
      </c>
    </row>
    <row r="32" spans="1:10">
      <c r="A32" s="64"/>
    </row>
    <row r="33" spans="1:1">
      <c r="A33" s="65" t="s">
        <v>90</v>
      </c>
    </row>
  </sheetData>
  <sheetProtection algorithmName="SHA-512" hashValue="59j9c2r3DGMpiq7a9p3j2vuViHSJFx5EEoFZIgcjpX3iJ5iHJeg0lROdOK6XN3K1rC1RuFVYBcK3IYEmeGKC6A==" saltValue="Hj4N6ZOdIeMY+8ASDEDDnQ==" spinCount="100000" sheet="1" objects="1" scenarios="1"/>
  <hyperlinks>
    <hyperlink ref="A33" r:id="rId1" xr:uid="{78BD0D11-AFF6-C840-B9CA-596B328D2307}"/>
  </hyperlinks>
  <pageMargins left="0.7" right="0.7" top="0.75" bottom="0.75" header="0.3" footer="0.3"/>
  <pageSetup scale="7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4"/>
  <sheetViews>
    <sheetView topLeftCell="A31" workbookViewId="0">
      <selection activeCell="D67" sqref="D67"/>
    </sheetView>
  </sheetViews>
  <sheetFormatPr baseColWidth="10" defaultColWidth="8.83203125" defaultRowHeight="14"/>
  <cols>
    <col min="7" max="7" width="13.1640625" customWidth="1"/>
    <col min="8" max="8" width="14" bestFit="1" customWidth="1"/>
  </cols>
  <sheetData>
    <row r="1" spans="1:15">
      <c r="A1" s="1" t="s">
        <v>6</v>
      </c>
    </row>
    <row r="2" spans="1:15">
      <c r="A2" s="1" t="s">
        <v>1</v>
      </c>
      <c r="B2" s="1" t="s">
        <v>2</v>
      </c>
      <c r="C2" s="1" t="s">
        <v>3</v>
      </c>
    </row>
    <row r="3" spans="1:15">
      <c r="A3">
        <v>3.88</v>
      </c>
      <c r="B3">
        <v>-0.6</v>
      </c>
      <c r="C3">
        <f>+A3+B3</f>
        <v>3.28</v>
      </c>
    </row>
    <row r="4" spans="1:15">
      <c r="A4">
        <v>3.99</v>
      </c>
      <c r="B4">
        <v>-0.6</v>
      </c>
      <c r="C4">
        <f>+A4+B4</f>
        <v>3.39</v>
      </c>
    </row>
    <row r="5" spans="1:15">
      <c r="A5">
        <v>4.05</v>
      </c>
      <c r="B5">
        <v>-0.6</v>
      </c>
      <c r="C5">
        <f>+A5+B5</f>
        <v>3.4499999999999997</v>
      </c>
    </row>
    <row r="6" spans="1:15">
      <c r="B6" s="1" t="s">
        <v>4</v>
      </c>
      <c r="C6">
        <f>+AVERAGE(C3:C5)</f>
        <v>3.3733333333333331</v>
      </c>
    </row>
    <row r="8" spans="1:15">
      <c r="B8" s="2" t="s">
        <v>5</v>
      </c>
      <c r="C8">
        <f>3.37*0.7</f>
        <v>2.359</v>
      </c>
    </row>
    <row r="10" spans="1:15">
      <c r="A10" t="s">
        <v>7</v>
      </c>
      <c r="I10" s="1" t="s">
        <v>33</v>
      </c>
      <c r="J10" s="1" t="s">
        <v>34</v>
      </c>
      <c r="K10" s="1" t="s">
        <v>35</v>
      </c>
      <c r="L10" s="1" t="s">
        <v>36</v>
      </c>
      <c r="M10" s="1" t="s">
        <v>37</v>
      </c>
      <c r="N10" s="1" t="s">
        <v>51</v>
      </c>
    </row>
    <row r="11" spans="1:15">
      <c r="A11" t="s">
        <v>8</v>
      </c>
      <c r="H11" s="1" t="s">
        <v>0</v>
      </c>
      <c r="K11">
        <v>70</v>
      </c>
      <c r="M11" s="1" t="s">
        <v>38</v>
      </c>
      <c r="O11" s="1" t="s">
        <v>41</v>
      </c>
    </row>
    <row r="12" spans="1:15">
      <c r="A12" t="s">
        <v>9</v>
      </c>
      <c r="I12" s="1" t="s">
        <v>39</v>
      </c>
      <c r="J12">
        <v>140</v>
      </c>
      <c r="K12">
        <v>90</v>
      </c>
      <c r="O12" s="1" t="s">
        <v>42</v>
      </c>
    </row>
    <row r="13" spans="1:15">
      <c r="A13" t="s">
        <v>10</v>
      </c>
    </row>
    <row r="14" spans="1:15">
      <c r="A14" t="s">
        <v>11</v>
      </c>
      <c r="H14" s="1" t="s">
        <v>40</v>
      </c>
      <c r="I14">
        <v>125</v>
      </c>
      <c r="J14">
        <v>90</v>
      </c>
      <c r="K14" s="1" t="s">
        <v>43</v>
      </c>
      <c r="O14" s="1" t="s">
        <v>42</v>
      </c>
    </row>
    <row r="17" spans="1:15">
      <c r="A17" t="s">
        <v>12</v>
      </c>
    </row>
    <row r="18" spans="1:15">
      <c r="A18" t="s">
        <v>13</v>
      </c>
    </row>
    <row r="19" spans="1:15">
      <c r="A19" t="s">
        <v>14</v>
      </c>
      <c r="H19" s="1" t="s">
        <v>0</v>
      </c>
      <c r="M19" s="1" t="s">
        <v>44</v>
      </c>
      <c r="O19" s="1" t="s">
        <v>45</v>
      </c>
    </row>
    <row r="20" spans="1:15">
      <c r="A20" t="s">
        <v>15</v>
      </c>
      <c r="H20" s="1" t="s">
        <v>46</v>
      </c>
      <c r="I20">
        <v>90</v>
      </c>
      <c r="K20" s="1" t="s">
        <v>47</v>
      </c>
      <c r="M20" s="1" t="s">
        <v>48</v>
      </c>
      <c r="O20" s="1" t="s">
        <v>45</v>
      </c>
    </row>
    <row r="21" spans="1:15">
      <c r="A21" t="s">
        <v>16</v>
      </c>
      <c r="H21" s="1" t="s">
        <v>49</v>
      </c>
      <c r="K21" s="1" t="s">
        <v>50</v>
      </c>
      <c r="N21">
        <v>40</v>
      </c>
      <c r="O21" s="1" t="s">
        <v>45</v>
      </c>
    </row>
    <row r="22" spans="1:15">
      <c r="A22" t="s">
        <v>17</v>
      </c>
    </row>
    <row r="23" spans="1:15">
      <c r="A23" t="s">
        <v>18</v>
      </c>
    </row>
    <row r="24" spans="1:15">
      <c r="A24" t="s">
        <v>19</v>
      </c>
    </row>
    <row r="25" spans="1:15">
      <c r="A25" t="s">
        <v>20</v>
      </c>
    </row>
    <row r="27" spans="1:15">
      <c r="A27" t="s">
        <v>21</v>
      </c>
    </row>
    <row r="28" spans="1:15">
      <c r="A28" t="s">
        <v>22</v>
      </c>
      <c r="H28" s="1" t="s">
        <v>52</v>
      </c>
      <c r="K28" s="1" t="s">
        <v>53</v>
      </c>
      <c r="M28" s="1" t="s">
        <v>54</v>
      </c>
      <c r="N28" s="1" t="s">
        <v>55</v>
      </c>
      <c r="O28" s="1" t="s">
        <v>56</v>
      </c>
    </row>
    <row r="29" spans="1:15">
      <c r="A29" t="s">
        <v>23</v>
      </c>
      <c r="H29" s="1" t="s">
        <v>49</v>
      </c>
      <c r="K29" s="1" t="s">
        <v>57</v>
      </c>
      <c r="M29">
        <v>85</v>
      </c>
      <c r="O29" s="1" t="s">
        <v>45</v>
      </c>
    </row>
    <row r="30" spans="1:15">
      <c r="A30" t="s">
        <v>24</v>
      </c>
      <c r="H30" s="1" t="s">
        <v>46</v>
      </c>
      <c r="I30">
        <v>155</v>
      </c>
      <c r="K30" s="1" t="s">
        <v>58</v>
      </c>
      <c r="M30" s="1" t="s">
        <v>59</v>
      </c>
      <c r="O30" s="1" t="s">
        <v>56</v>
      </c>
    </row>
    <row r="31" spans="1:15">
      <c r="A31" t="s">
        <v>25</v>
      </c>
      <c r="H31" s="1" t="s">
        <v>60</v>
      </c>
      <c r="N31" s="1" t="s">
        <v>61</v>
      </c>
      <c r="O31" s="1" t="s">
        <v>56</v>
      </c>
    </row>
    <row r="32" spans="1:15">
      <c r="A32" t="s">
        <v>26</v>
      </c>
      <c r="G32" s="1" t="s">
        <v>63</v>
      </c>
      <c r="H32" s="1" t="s">
        <v>62</v>
      </c>
      <c r="N32" s="1" t="s">
        <v>64</v>
      </c>
      <c r="O32" s="1" t="s">
        <v>45</v>
      </c>
    </row>
    <row r="33" spans="1:3">
      <c r="A33" t="s">
        <v>27</v>
      </c>
    </row>
    <row r="34" spans="1:3">
      <c r="A34" t="s">
        <v>28</v>
      </c>
    </row>
    <row r="35" spans="1:3">
      <c r="A35" t="s">
        <v>29</v>
      </c>
    </row>
    <row r="36" spans="1:3">
      <c r="A36" t="s">
        <v>30</v>
      </c>
    </row>
    <row r="37" spans="1:3">
      <c r="A37" t="s">
        <v>31</v>
      </c>
    </row>
    <row r="38" spans="1:3">
      <c r="A38" t="s">
        <v>32</v>
      </c>
    </row>
    <row r="41" spans="1:3">
      <c r="A41" s="1" t="s">
        <v>65</v>
      </c>
    </row>
    <row r="42" spans="1:3">
      <c r="A42" s="1" t="s">
        <v>66</v>
      </c>
    </row>
    <row r="43" spans="1:3">
      <c r="A43" s="1" t="s">
        <v>67</v>
      </c>
      <c r="B43">
        <v>135</v>
      </c>
    </row>
    <row r="44" spans="1:3">
      <c r="A44" s="1" t="s">
        <v>68</v>
      </c>
      <c r="B44">
        <v>70</v>
      </c>
    </row>
    <row r="45" spans="1:3">
      <c r="A45" s="1" t="s">
        <v>69</v>
      </c>
      <c r="B45">
        <v>40</v>
      </c>
      <c r="C45" s="1" t="s">
        <v>70</v>
      </c>
    </row>
    <row r="47" spans="1:3">
      <c r="A47" s="1" t="s">
        <v>72</v>
      </c>
    </row>
    <row r="48" spans="1:3">
      <c r="A48" s="1" t="s">
        <v>73</v>
      </c>
      <c r="B48">
        <v>130.75</v>
      </c>
    </row>
    <row r="49" spans="1:2">
      <c r="A49" s="1" t="s">
        <v>74</v>
      </c>
      <c r="B49">
        <v>137.4</v>
      </c>
    </row>
    <row r="50" spans="1:2">
      <c r="A50" s="1" t="s">
        <v>75</v>
      </c>
      <c r="B50">
        <v>139.30000000000001</v>
      </c>
    </row>
    <row r="51" spans="1:2">
      <c r="A51" s="1" t="s">
        <v>76</v>
      </c>
      <c r="B51">
        <v>138.94999999999999</v>
      </c>
    </row>
    <row r="52" spans="1:2">
      <c r="A52" s="1" t="s">
        <v>77</v>
      </c>
      <c r="B52">
        <v>130.85</v>
      </c>
    </row>
    <row r="53" spans="1:2">
      <c r="A53" s="1" t="s">
        <v>78</v>
      </c>
      <c r="B53">
        <v>128.5</v>
      </c>
    </row>
    <row r="55" spans="1:2">
      <c r="A55" s="1" t="s">
        <v>79</v>
      </c>
    </row>
    <row r="56" spans="1:2">
      <c r="A56" s="1" t="s">
        <v>73</v>
      </c>
      <c r="B56">
        <v>188.83</v>
      </c>
    </row>
    <row r="57" spans="1:2">
      <c r="A57" s="1" t="s">
        <v>80</v>
      </c>
      <c r="B57">
        <v>184.6</v>
      </c>
    </row>
    <row r="58" spans="1:2">
      <c r="A58" s="1" t="s">
        <v>81</v>
      </c>
      <c r="B58">
        <v>179.5</v>
      </c>
    </row>
    <row r="59" spans="1:2">
      <c r="A59" s="1" t="s">
        <v>82</v>
      </c>
      <c r="B59">
        <v>177.6</v>
      </c>
    </row>
    <row r="60" spans="1:2">
      <c r="A60" s="1" t="s">
        <v>76</v>
      </c>
      <c r="B60">
        <v>178.23</v>
      </c>
    </row>
    <row r="61" spans="1:2">
      <c r="A61" s="1" t="s">
        <v>83</v>
      </c>
      <c r="B61">
        <v>178.1</v>
      </c>
    </row>
    <row r="62" spans="1:2">
      <c r="A62" s="1" t="s">
        <v>78</v>
      </c>
      <c r="B62">
        <v>178.37</v>
      </c>
    </row>
    <row r="63" spans="1:2">
      <c r="A63" s="1" t="s">
        <v>84</v>
      </c>
      <c r="B63" s="3" t="s">
        <v>85</v>
      </c>
    </row>
    <row r="64" spans="1:2">
      <c r="A64" s="1" t="s">
        <v>73</v>
      </c>
      <c r="B64" s="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3087"/>
    <pageSetUpPr fitToPage="1"/>
  </sheetPr>
  <dimension ref="A2:U101"/>
  <sheetViews>
    <sheetView workbookViewId="0">
      <selection activeCell="F34" sqref="F34"/>
    </sheetView>
  </sheetViews>
  <sheetFormatPr baseColWidth="10" defaultColWidth="9" defaultRowHeight="16"/>
  <cols>
    <col min="1" max="1" width="6.6640625" style="4" customWidth="1"/>
    <col min="2" max="2" width="14.33203125" style="4" customWidth="1"/>
    <col min="3" max="3" width="11.33203125" style="4" customWidth="1"/>
    <col min="4" max="4" width="12.5" style="4" customWidth="1"/>
    <col min="5" max="8" width="11.33203125" style="4" customWidth="1"/>
    <col min="9" max="9" width="12.33203125" style="4" customWidth="1"/>
    <col min="10" max="10" width="11.6640625" customWidth="1"/>
    <col min="11" max="11" width="9.1640625" style="4" bestFit="1" customWidth="1"/>
    <col min="12" max="16384" width="9" style="4"/>
  </cols>
  <sheetData>
    <row r="2" spans="1:14" ht="19" customHeight="1">
      <c r="A2" s="63"/>
      <c r="B2" s="54" t="s">
        <v>164</v>
      </c>
      <c r="C2" s="53"/>
      <c r="D2" s="53"/>
      <c r="E2" s="53"/>
      <c r="F2" s="53"/>
    </row>
    <row r="3" spans="1:14" ht="20" customHeight="1">
      <c r="A3" s="63"/>
      <c r="B3" s="54" t="s">
        <v>108</v>
      </c>
      <c r="C3" s="53"/>
      <c r="D3" s="53"/>
      <c r="E3" s="53"/>
      <c r="F3" s="53"/>
    </row>
    <row r="4" spans="1:14" ht="15" customHeight="1">
      <c r="A4" s="52"/>
      <c r="B4" s="52"/>
      <c r="C4" s="52"/>
      <c r="D4" s="52"/>
      <c r="E4" s="52"/>
      <c r="F4" s="52"/>
    </row>
    <row r="5" spans="1:14" ht="15" customHeight="1">
      <c r="A5" s="52"/>
      <c r="B5" s="52"/>
      <c r="C5" s="52"/>
      <c r="D5" s="52"/>
      <c r="E5" s="52"/>
      <c r="F5" s="52"/>
    </row>
    <row r="6" spans="1:14" ht="15" customHeight="1">
      <c r="A6" s="52"/>
      <c r="B6" s="52"/>
      <c r="C6" s="52"/>
      <c r="D6" s="52"/>
      <c r="E6" s="52"/>
      <c r="F6" s="52"/>
    </row>
    <row r="7" spans="1:14">
      <c r="A7" s="55"/>
      <c r="B7" s="55"/>
      <c r="C7" s="13"/>
    </row>
    <row r="8" spans="1:14">
      <c r="I8" s="13"/>
    </row>
    <row r="9" spans="1:14">
      <c r="A9" s="57"/>
      <c r="B9" s="88" t="s">
        <v>109</v>
      </c>
      <c r="H9" s="57"/>
      <c r="I9" s="57"/>
    </row>
    <row r="10" spans="1:14">
      <c r="A10" s="57"/>
      <c r="H10" s="57"/>
      <c r="I10" s="57"/>
    </row>
    <row r="11" spans="1:14">
      <c r="A11" s="45"/>
      <c r="B11" s="4" t="s">
        <v>110</v>
      </c>
      <c r="E11" s="120">
        <v>120</v>
      </c>
      <c r="G11" s="89"/>
    </row>
    <row r="12" spans="1:14">
      <c r="A12" s="15"/>
      <c r="B12" s="4" t="s">
        <v>111</v>
      </c>
      <c r="E12" s="120">
        <v>4</v>
      </c>
      <c r="G12" s="89"/>
      <c r="H12" s="15"/>
    </row>
    <row r="13" spans="1:14">
      <c r="A13" s="15"/>
      <c r="B13" s="4" t="s">
        <v>112</v>
      </c>
      <c r="E13" s="121">
        <v>3750</v>
      </c>
      <c r="G13" s="89"/>
    </row>
    <row r="14" spans="1:14">
      <c r="A14" s="14"/>
      <c r="B14" s="4" t="s">
        <v>113</v>
      </c>
      <c r="E14" s="121">
        <v>2000</v>
      </c>
      <c r="G14" s="89"/>
      <c r="I14" s="76"/>
      <c r="K14" s="14"/>
    </row>
    <row r="15" spans="1:14">
      <c r="A15" s="14"/>
      <c r="B15" s="4" t="s">
        <v>114</v>
      </c>
      <c r="E15" s="122">
        <v>0.18</v>
      </c>
      <c r="G15" s="90"/>
      <c r="I15" s="77"/>
      <c r="K15" s="18"/>
    </row>
    <row r="16" spans="1:14">
      <c r="A16" s="14"/>
      <c r="B16" s="4" t="s">
        <v>115</v>
      </c>
      <c r="E16" s="121">
        <v>4100</v>
      </c>
      <c r="G16" s="89"/>
      <c r="I16" s="78"/>
      <c r="K16" s="21"/>
      <c r="L16" s="47"/>
      <c r="M16" s="47"/>
      <c r="N16" s="47"/>
    </row>
    <row r="17" spans="1:14">
      <c r="A17" s="14"/>
      <c r="B17" s="4" t="s">
        <v>116</v>
      </c>
      <c r="E17" s="121">
        <v>8500</v>
      </c>
      <c r="G17" s="89"/>
      <c r="I17" s="80"/>
      <c r="K17" s="47"/>
      <c r="L17" s="47"/>
      <c r="M17" s="47"/>
      <c r="N17" s="47"/>
    </row>
    <row r="18" spans="1:14">
      <c r="B18" s="4" t="s">
        <v>117</v>
      </c>
      <c r="E18" s="121">
        <v>4000</v>
      </c>
      <c r="G18" s="89"/>
      <c r="I18" s="76"/>
    </row>
    <row r="19" spans="1:14">
      <c r="A19" s="15"/>
      <c r="B19" s="4" t="s">
        <v>118</v>
      </c>
      <c r="E19" s="121">
        <v>4</v>
      </c>
      <c r="G19" s="89"/>
      <c r="I19" s="81"/>
      <c r="K19" s="19"/>
    </row>
    <row r="20" spans="1:14">
      <c r="A20" s="14"/>
      <c r="B20" s="4" t="s">
        <v>119</v>
      </c>
      <c r="E20" s="122">
        <v>0.08</v>
      </c>
      <c r="F20" s="4" t="s">
        <v>120</v>
      </c>
      <c r="G20" s="90"/>
      <c r="I20" s="75"/>
      <c r="K20" s="19"/>
    </row>
    <row r="21" spans="1:14">
      <c r="A21" s="14"/>
      <c r="D21" s="80"/>
      <c r="E21" s="17"/>
      <c r="K21" s="56"/>
      <c r="L21" s="56"/>
      <c r="M21" s="56"/>
      <c r="N21" s="56"/>
    </row>
    <row r="22" spans="1:14">
      <c r="A22" s="14"/>
      <c r="D22" s="80"/>
      <c r="E22" s="17"/>
      <c r="F22" s="16"/>
      <c r="K22" s="56"/>
      <c r="L22" s="56"/>
      <c r="M22" s="56"/>
      <c r="N22" s="56"/>
    </row>
    <row r="23" spans="1:14" ht="16.5" customHeight="1">
      <c r="B23" s="16" t="s">
        <v>121</v>
      </c>
      <c r="E23" s="17"/>
      <c r="I23" s="83"/>
      <c r="K23" s="56"/>
      <c r="L23" s="56"/>
      <c r="M23" s="56"/>
      <c r="N23" s="56"/>
    </row>
    <row r="24" spans="1:14">
      <c r="A24" s="14"/>
      <c r="D24" s="4" t="s">
        <v>122</v>
      </c>
      <c r="F24" s="4" t="s">
        <v>123</v>
      </c>
      <c r="I24" s="82"/>
      <c r="K24" s="56"/>
      <c r="L24" s="56"/>
      <c r="M24" s="56"/>
      <c r="N24" s="56"/>
    </row>
    <row r="25" spans="1:14">
      <c r="B25" s="4" t="s">
        <v>124</v>
      </c>
      <c r="D25" s="97">
        <v>1</v>
      </c>
      <c r="F25" s="91">
        <f>1-D25</f>
        <v>0</v>
      </c>
      <c r="I25" s="79"/>
      <c r="K25" s="56"/>
      <c r="L25" s="56"/>
      <c r="M25" s="56"/>
      <c r="N25" s="56"/>
    </row>
    <row r="26" spans="1:14">
      <c r="A26" s="14"/>
      <c r="I26" s="82"/>
      <c r="K26" s="56"/>
      <c r="L26" s="56"/>
      <c r="M26" s="56"/>
      <c r="N26" s="56"/>
    </row>
    <row r="27" spans="1:14">
      <c r="B27" s="4" t="s">
        <v>125</v>
      </c>
      <c r="D27" s="97">
        <v>0.5</v>
      </c>
      <c r="F27" s="91">
        <f>1-D27</f>
        <v>0.5</v>
      </c>
      <c r="I27" s="82"/>
      <c r="K27" s="56"/>
      <c r="L27" s="56"/>
      <c r="M27" s="56"/>
      <c r="N27" s="56"/>
    </row>
    <row r="28" spans="1:14" ht="15.75" customHeight="1"/>
    <row r="29" spans="1:14">
      <c r="A29" s="16"/>
      <c r="E29" s="14"/>
    </row>
    <row r="30" spans="1:14">
      <c r="A30" s="16"/>
      <c r="D30" s="17"/>
    </row>
    <row r="31" spans="1:14">
      <c r="F31" s="84"/>
      <c r="G31" s="84"/>
      <c r="H31" s="84"/>
      <c r="I31" s="7"/>
    </row>
    <row r="32" spans="1:14" ht="15" customHeight="1">
      <c r="B32" s="16"/>
      <c r="F32" s="86"/>
      <c r="H32" s="46"/>
      <c r="K32" s="21"/>
      <c r="L32" s="21"/>
      <c r="M32" s="21"/>
      <c r="N32" s="21"/>
    </row>
    <row r="33" spans="1:14">
      <c r="B33" s="118"/>
      <c r="C33" s="119"/>
      <c r="D33" s="119"/>
      <c r="E33" s="119" t="s">
        <v>190</v>
      </c>
      <c r="F33" s="86"/>
      <c r="H33" s="46"/>
      <c r="K33" s="21"/>
      <c r="L33" s="21"/>
      <c r="M33" s="21"/>
      <c r="N33" s="21"/>
    </row>
    <row r="34" spans="1:14">
      <c r="B34" s="118" t="s">
        <v>186</v>
      </c>
      <c r="C34" s="119"/>
      <c r="D34" s="119">
        <f>AVERAGE(E13:E14)</f>
        <v>2875</v>
      </c>
      <c r="E34" s="119">
        <f>AvgCowInvest*D25</f>
        <v>2875</v>
      </c>
      <c r="F34" s="86"/>
      <c r="H34" s="46"/>
      <c r="K34" s="21"/>
      <c r="L34" s="21"/>
      <c r="M34" s="21"/>
      <c r="N34" s="21"/>
    </row>
    <row r="35" spans="1:14">
      <c r="B35" s="118" t="s">
        <v>187</v>
      </c>
      <c r="C35" s="119"/>
      <c r="D35" s="119">
        <f>AVERAGE(E17:E18)*(E12/E11)</f>
        <v>208.33333333333334</v>
      </c>
      <c r="E35" s="119">
        <f>Bull_Invest_per_cow*D27</f>
        <v>104.16666666666667</v>
      </c>
      <c r="F35" s="86"/>
      <c r="H35" s="46"/>
      <c r="K35" s="21"/>
      <c r="L35" s="21"/>
      <c r="M35" s="21"/>
      <c r="N35" s="21"/>
    </row>
    <row r="36" spans="1:14" ht="15" customHeight="1">
      <c r="B36" s="118"/>
      <c r="C36" s="119"/>
      <c r="D36" s="119"/>
      <c r="E36" s="119">
        <f>SUM(E34:E35)</f>
        <v>2979.1666666666665</v>
      </c>
      <c r="F36" s="86"/>
      <c r="H36" s="46"/>
      <c r="K36" s="21"/>
      <c r="L36" s="21"/>
      <c r="M36" s="21"/>
      <c r="N36" s="21"/>
    </row>
    <row r="37" spans="1:14">
      <c r="B37" s="16"/>
      <c r="F37" s="86"/>
      <c r="H37" s="46"/>
      <c r="K37" s="21"/>
      <c r="L37" s="21"/>
      <c r="M37" s="21"/>
      <c r="N37" s="21"/>
    </row>
    <row r="38" spans="1:14">
      <c r="B38" s="16"/>
      <c r="F38" s="86"/>
      <c r="H38" s="46"/>
      <c r="K38" s="21"/>
      <c r="L38" s="21"/>
      <c r="M38" s="21"/>
      <c r="N38" s="21"/>
    </row>
    <row r="39" spans="1:14">
      <c r="B39" s="16"/>
      <c r="F39" s="86"/>
      <c r="H39" s="46"/>
      <c r="K39" s="21"/>
      <c r="L39" s="21"/>
      <c r="M39" s="21"/>
      <c r="N39" s="21"/>
    </row>
    <row r="40" spans="1:14">
      <c r="B40" s="16"/>
      <c r="F40" s="86"/>
      <c r="H40" s="46"/>
      <c r="K40" s="21"/>
      <c r="L40" s="21"/>
      <c r="M40" s="21"/>
      <c r="N40" s="21"/>
    </row>
    <row r="41" spans="1:14">
      <c r="B41" s="16"/>
      <c r="D41" s="14"/>
      <c r="F41" s="87"/>
      <c r="H41" s="46"/>
    </row>
    <row r="42" spans="1:14">
      <c r="B42" s="85"/>
      <c r="D42" s="14"/>
      <c r="H42" s="22"/>
    </row>
    <row r="43" spans="1:14" ht="15" customHeight="1">
      <c r="A43" s="16"/>
      <c r="B43" s="85"/>
      <c r="D43" s="14"/>
    </row>
    <row r="44" spans="1:14" ht="30" customHeight="1">
      <c r="B44" s="85"/>
      <c r="D44" s="14"/>
      <c r="F44" s="84"/>
      <c r="G44" s="84"/>
      <c r="H44" s="84"/>
      <c r="I44" s="84"/>
    </row>
    <row r="45" spans="1:14">
      <c r="B45" s="16"/>
      <c r="F45" s="86"/>
      <c r="H45" s="46"/>
    </row>
    <row r="46" spans="1:14">
      <c r="B46" s="16"/>
      <c r="F46" s="86"/>
      <c r="H46" s="46"/>
    </row>
    <row r="47" spans="1:14">
      <c r="B47" s="16"/>
      <c r="F47" s="86"/>
      <c r="H47" s="46"/>
    </row>
    <row r="48" spans="1:14">
      <c r="B48" s="16"/>
      <c r="F48" s="86"/>
      <c r="H48" s="46"/>
    </row>
    <row r="49" spans="1:8">
      <c r="B49" s="16"/>
      <c r="F49" s="86"/>
      <c r="H49" s="46"/>
    </row>
    <row r="50" spans="1:8">
      <c r="B50" s="16"/>
      <c r="F50" s="86"/>
      <c r="H50" s="46"/>
    </row>
    <row r="51" spans="1:8">
      <c r="B51" s="16"/>
      <c r="F51" s="86"/>
      <c r="H51" s="46"/>
    </row>
    <row r="52" spans="1:8">
      <c r="B52" s="16"/>
      <c r="F52" s="86"/>
      <c r="H52" s="46"/>
    </row>
    <row r="53" spans="1:8">
      <c r="B53" s="16"/>
      <c r="F53" s="86"/>
      <c r="H53" s="46"/>
    </row>
    <row r="54" spans="1:8">
      <c r="B54" s="16"/>
      <c r="D54" s="14"/>
      <c r="H54" s="46"/>
    </row>
    <row r="55" spans="1:8">
      <c r="B55" s="16"/>
      <c r="D55" s="14"/>
      <c r="H55" s="46"/>
    </row>
    <row r="56" spans="1:8">
      <c r="B56" s="16"/>
      <c r="D56" s="14"/>
      <c r="H56" s="46"/>
    </row>
    <row r="57" spans="1:8" ht="19" customHeight="1">
      <c r="A57" s="63"/>
      <c r="B57" s="53"/>
      <c r="C57" s="53"/>
      <c r="D57" s="53"/>
      <c r="E57" s="53"/>
      <c r="F57" s="53"/>
      <c r="H57" s="46"/>
    </row>
    <row r="58" spans="1:8" ht="20" customHeight="1">
      <c r="A58" s="63"/>
      <c r="B58" s="53"/>
      <c r="C58" s="53"/>
      <c r="D58" s="53"/>
      <c r="E58" s="53"/>
      <c r="F58" s="53"/>
      <c r="H58" s="46"/>
    </row>
    <row r="59" spans="1:8" ht="16" customHeight="1">
      <c r="A59" s="52"/>
      <c r="B59" s="52"/>
      <c r="C59" s="52"/>
      <c r="D59" s="52"/>
      <c r="E59" s="52"/>
      <c r="F59" s="52"/>
      <c r="H59" s="46"/>
    </row>
    <row r="60" spans="1:8" ht="16" customHeight="1">
      <c r="A60" s="52"/>
      <c r="B60" s="52"/>
      <c r="C60" s="52"/>
      <c r="D60" s="52"/>
      <c r="E60" s="52"/>
      <c r="F60" s="52"/>
      <c r="H60" s="46"/>
    </row>
    <row r="61" spans="1:8" ht="16" customHeight="1">
      <c r="A61" s="52"/>
      <c r="B61" s="52"/>
      <c r="C61" s="52"/>
      <c r="D61" s="52"/>
      <c r="E61" s="52"/>
      <c r="F61" s="52"/>
      <c r="H61" s="46"/>
    </row>
    <row r="62" spans="1:8">
      <c r="A62" s="58"/>
      <c r="B62" s="58"/>
      <c r="D62" s="14"/>
      <c r="H62" s="46"/>
    </row>
    <row r="63" spans="1:8">
      <c r="A63" s="15"/>
    </row>
    <row r="64" spans="1:8">
      <c r="A64" s="15"/>
    </row>
    <row r="65" spans="2:9">
      <c r="C65" s="14"/>
      <c r="E65" s="6"/>
      <c r="F65" s="6"/>
      <c r="G65" s="23"/>
      <c r="H65" s="23"/>
    </row>
    <row r="66" spans="2:9">
      <c r="C66" s="14"/>
      <c r="E66" s="6"/>
      <c r="F66" s="6"/>
      <c r="G66" s="23"/>
      <c r="H66" s="23"/>
      <c r="I66" s="24"/>
    </row>
    <row r="67" spans="2:9">
      <c r="E67" s="6"/>
      <c r="F67" s="6"/>
      <c r="G67" s="23"/>
      <c r="H67" s="23"/>
      <c r="I67" s="24"/>
    </row>
    <row r="68" spans="2:9">
      <c r="E68" s="6"/>
      <c r="F68" s="6"/>
      <c r="G68" s="23"/>
      <c r="H68" s="23"/>
    </row>
    <row r="69" spans="2:9">
      <c r="E69" s="6"/>
      <c r="F69" s="6"/>
      <c r="G69" s="23"/>
      <c r="H69" s="23"/>
    </row>
    <row r="70" spans="2:9">
      <c r="E70" s="6"/>
      <c r="F70" s="6"/>
      <c r="G70" s="23"/>
      <c r="H70" s="23"/>
    </row>
    <row r="71" spans="2:9">
      <c r="E71" s="6"/>
      <c r="F71" s="6"/>
      <c r="G71" s="23"/>
      <c r="H71" s="23"/>
    </row>
    <row r="72" spans="2:9">
      <c r="C72" s="14"/>
      <c r="E72" s="6"/>
      <c r="F72" s="6"/>
      <c r="G72" s="23"/>
      <c r="H72" s="23"/>
    </row>
    <row r="73" spans="2:9">
      <c r="C73" s="14"/>
      <c r="E73" s="6"/>
      <c r="F73" s="6"/>
      <c r="G73" s="23"/>
      <c r="H73" s="23"/>
      <c r="I73" s="24"/>
    </row>
    <row r="74" spans="2:9">
      <c r="C74" s="14"/>
      <c r="E74" s="6"/>
      <c r="F74" s="6"/>
      <c r="G74" s="23"/>
      <c r="H74" s="23"/>
      <c r="I74" s="24"/>
    </row>
    <row r="75" spans="2:9">
      <c r="B75" s="14"/>
      <c r="I75" s="24"/>
    </row>
    <row r="76" spans="2:9">
      <c r="B76" s="14"/>
      <c r="I76" s="24"/>
    </row>
    <row r="77" spans="2:9">
      <c r="B77" s="14"/>
      <c r="I77" s="24"/>
    </row>
    <row r="78" spans="2:9">
      <c r="B78" s="14"/>
      <c r="I78" s="24"/>
    </row>
    <row r="79" spans="2:9">
      <c r="B79" s="14"/>
      <c r="I79" s="25"/>
    </row>
    <row r="80" spans="2:9">
      <c r="B80" s="14"/>
      <c r="I80" s="26"/>
    </row>
    <row r="81" spans="1:21">
      <c r="B81" s="14"/>
      <c r="D81" s="15"/>
      <c r="I81" s="27"/>
    </row>
    <row r="83" spans="1:21">
      <c r="A83" s="15"/>
    </row>
    <row r="84" spans="1:21" ht="15.75" customHeight="1">
      <c r="B84" s="14"/>
      <c r="E84" s="28"/>
      <c r="F84" s="29"/>
      <c r="G84" s="30"/>
      <c r="I84" s="31"/>
      <c r="K84" s="14"/>
      <c r="L84" s="32"/>
      <c r="M84" s="32"/>
      <c r="N84" s="32"/>
      <c r="O84" s="32"/>
      <c r="P84" s="32"/>
      <c r="Q84" s="32"/>
      <c r="R84" s="32"/>
    </row>
    <row r="85" spans="1:21">
      <c r="B85" s="14"/>
      <c r="E85" s="19"/>
      <c r="F85" s="29"/>
      <c r="G85" s="30"/>
      <c r="H85" s="14"/>
      <c r="I85" s="25"/>
      <c r="L85" s="32"/>
      <c r="M85" s="32"/>
      <c r="N85" s="32"/>
      <c r="O85" s="32"/>
      <c r="P85" s="32"/>
      <c r="Q85" s="32"/>
      <c r="R85" s="32"/>
      <c r="T85" s="24"/>
      <c r="U85" s="33"/>
    </row>
    <row r="86" spans="1:21">
      <c r="B86" s="14"/>
      <c r="D86" s="34"/>
      <c r="E86" s="35"/>
      <c r="F86" s="7"/>
      <c r="G86" s="24"/>
      <c r="H86" s="14"/>
      <c r="I86" s="25"/>
      <c r="L86" s="32"/>
      <c r="M86" s="32"/>
      <c r="N86" s="32"/>
      <c r="O86" s="32"/>
      <c r="P86" s="32"/>
      <c r="Q86" s="32"/>
      <c r="R86" s="32"/>
      <c r="T86" s="24"/>
      <c r="U86" s="33"/>
    </row>
    <row r="87" spans="1:21">
      <c r="B87" s="14"/>
      <c r="D87" s="34"/>
      <c r="E87" s="35"/>
      <c r="F87" s="7"/>
      <c r="G87" s="24"/>
      <c r="H87" s="14"/>
      <c r="I87" s="36"/>
      <c r="L87" s="32"/>
      <c r="M87" s="32"/>
      <c r="N87" s="32"/>
      <c r="O87" s="32"/>
      <c r="P87" s="32"/>
      <c r="Q87" s="32"/>
      <c r="R87" s="32"/>
      <c r="T87" s="24"/>
      <c r="U87" s="33"/>
    </row>
    <row r="88" spans="1:21" ht="17" thickBot="1">
      <c r="B88" s="14"/>
      <c r="D88" s="14"/>
      <c r="F88" s="7"/>
      <c r="G88" s="24"/>
      <c r="H88" s="14"/>
      <c r="I88" s="37"/>
      <c r="T88" s="24"/>
      <c r="U88" s="33"/>
    </row>
    <row r="89" spans="1:21" ht="17" thickTop="1">
      <c r="B89" s="16"/>
      <c r="D89" s="14"/>
      <c r="I89" s="20"/>
      <c r="T89" s="24"/>
      <c r="U89" s="33"/>
    </row>
    <row r="90" spans="1:21" ht="17" thickBot="1">
      <c r="B90" s="16"/>
      <c r="D90" s="14"/>
      <c r="I90" s="20"/>
      <c r="T90" s="24"/>
      <c r="U90" s="33"/>
    </row>
    <row r="91" spans="1:21" ht="17" thickBot="1">
      <c r="A91" s="16"/>
      <c r="B91" s="16"/>
      <c r="D91" s="14"/>
      <c r="I91" s="38"/>
      <c r="T91" s="24"/>
      <c r="U91" s="33"/>
    </row>
    <row r="92" spans="1:21">
      <c r="T92" s="24"/>
      <c r="U92" s="33"/>
    </row>
    <row r="93" spans="1:21">
      <c r="A93" s="15"/>
      <c r="T93" s="39"/>
    </row>
    <row r="94" spans="1:21" ht="16" customHeight="1">
      <c r="B94" s="60"/>
      <c r="C94" s="62"/>
      <c r="D94" s="62"/>
      <c r="E94" s="62"/>
      <c r="F94" s="62"/>
      <c r="G94" s="62"/>
      <c r="H94" s="62"/>
      <c r="I94" s="62"/>
      <c r="N94" s="14"/>
      <c r="T94" s="24"/>
      <c r="U94" s="33"/>
    </row>
    <row r="95" spans="1:21" ht="21" customHeight="1">
      <c r="A95" s="59"/>
      <c r="B95" s="61"/>
      <c r="C95" s="40"/>
      <c r="D95" s="41"/>
      <c r="E95" s="41"/>
      <c r="F95" s="41"/>
      <c r="G95" s="41"/>
      <c r="H95" s="41"/>
      <c r="I95" s="41"/>
      <c r="K95" s="14"/>
      <c r="M95" s="6"/>
      <c r="O95" s="7"/>
      <c r="P95" s="24"/>
      <c r="Q95" s="14"/>
      <c r="R95" s="24"/>
    </row>
    <row r="96" spans="1:21">
      <c r="A96" s="42"/>
      <c r="B96" s="43"/>
      <c r="C96" s="44"/>
      <c r="D96" s="44"/>
      <c r="E96" s="44"/>
      <c r="F96" s="44"/>
      <c r="G96" s="44"/>
      <c r="H96" s="44"/>
      <c r="I96" s="44"/>
      <c r="K96" s="14"/>
      <c r="M96" s="34"/>
      <c r="O96" s="7"/>
      <c r="P96" s="24"/>
      <c r="Q96" s="14"/>
      <c r="R96" s="24"/>
    </row>
    <row r="97" spans="2:18">
      <c r="B97" s="43"/>
      <c r="C97" s="44"/>
      <c r="D97" s="44"/>
      <c r="E97" s="44"/>
      <c r="F97" s="44"/>
      <c r="G97" s="44"/>
      <c r="H97" s="44"/>
      <c r="I97" s="44"/>
      <c r="M97" s="15"/>
      <c r="R97" s="27"/>
    </row>
    <row r="98" spans="2:18">
      <c r="B98" s="43"/>
      <c r="C98" s="44"/>
      <c r="D98" s="44"/>
      <c r="E98" s="44"/>
      <c r="F98" s="44"/>
      <c r="G98" s="44"/>
      <c r="H98" s="44"/>
      <c r="I98" s="44"/>
    </row>
    <row r="99" spans="2:18">
      <c r="B99" s="43"/>
      <c r="C99" s="44"/>
      <c r="D99" s="44"/>
      <c r="E99" s="44"/>
      <c r="F99" s="44"/>
      <c r="G99" s="44"/>
      <c r="H99" s="44"/>
      <c r="I99" s="44"/>
    </row>
    <row r="100" spans="2:18">
      <c r="B100" s="43"/>
      <c r="C100" s="44"/>
      <c r="D100" s="44"/>
      <c r="E100" s="44"/>
      <c r="F100" s="44"/>
      <c r="G100" s="44"/>
      <c r="H100" s="44"/>
      <c r="I100" s="44"/>
    </row>
    <row r="101" spans="2:18">
      <c r="B101" s="43"/>
      <c r="C101" s="44"/>
      <c r="D101" s="44"/>
      <c r="E101" s="44"/>
      <c r="F101" s="44"/>
      <c r="G101" s="44"/>
      <c r="H101" s="44"/>
      <c r="I101" s="44"/>
    </row>
  </sheetData>
  <sheetProtection algorithmName="SHA-512" hashValue="yD8fBcKqO9goaNQ2WGfgmvvqpWsb0+xTqQIGS0H+T7DLTFbUe4+VcKQCVRHGypUdEidIVHTVaRsIy/HHC0eing==" saltValue="zUiRvi1PYiin8SkPQn1FEA==" spinCount="100000" sheet="1" objects="1" scenarios="1"/>
  <pageMargins left="0.25" right="0.25" top="0.25" bottom="0.25" header="0.3" footer="0.3"/>
  <pageSetup scale="93" orientation="portrait" r:id="rId1"/>
  <ignoredErrors>
    <ignoredError sqref="D34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D100"/>
    <pageSetUpPr fitToPage="1"/>
  </sheetPr>
  <dimension ref="A2:L46"/>
  <sheetViews>
    <sheetView workbookViewId="0">
      <selection activeCell="F45" sqref="F45"/>
    </sheetView>
  </sheetViews>
  <sheetFormatPr baseColWidth="10" defaultColWidth="9" defaultRowHeight="16"/>
  <cols>
    <col min="1" max="1" width="35.6640625" style="4" bestFit="1" customWidth="1"/>
    <col min="2" max="2" width="12.1640625" style="4" customWidth="1"/>
    <col min="3" max="3" width="8.6640625" style="4" bestFit="1" customWidth="1"/>
    <col min="4" max="5" width="10.83203125" style="4" bestFit="1" customWidth="1"/>
    <col min="6" max="6" width="6.5" style="4" bestFit="1" customWidth="1"/>
    <col min="7" max="7" width="10.5" style="4" bestFit="1" customWidth="1"/>
    <col min="8" max="8" width="6.5" style="4" bestFit="1" customWidth="1"/>
    <col min="9" max="9" width="10" style="4" bestFit="1" customWidth="1"/>
    <col min="10" max="16384" width="9" style="4"/>
  </cols>
  <sheetData>
    <row r="2" spans="1:10" ht="20" customHeight="1">
      <c r="A2" s="63" t="s">
        <v>164</v>
      </c>
      <c r="B2" s="53"/>
      <c r="C2" s="53"/>
      <c r="D2" s="53"/>
      <c r="E2" s="53"/>
      <c r="F2" s="12"/>
    </row>
    <row r="3" spans="1:10" ht="18" customHeight="1">
      <c r="A3" s="63" t="s">
        <v>126</v>
      </c>
      <c r="B3" s="53"/>
      <c r="C3" s="53"/>
      <c r="D3" s="53"/>
      <c r="E3" s="53"/>
      <c r="F3" s="12"/>
    </row>
    <row r="4" spans="1:10" ht="15" customHeight="1">
      <c r="A4" s="52"/>
      <c r="B4" s="52"/>
      <c r="C4" s="52"/>
      <c r="D4" s="52"/>
      <c r="E4" s="52"/>
      <c r="F4" s="12"/>
    </row>
    <row r="5" spans="1:10" ht="16" customHeight="1">
      <c r="A5" s="52"/>
      <c r="B5" s="52"/>
      <c r="C5" s="52"/>
      <c r="D5" s="52"/>
      <c r="E5" s="52"/>
    </row>
    <row r="6" spans="1:10" ht="16" customHeight="1">
      <c r="A6" s="52"/>
      <c r="B6" s="52"/>
      <c r="C6" s="52"/>
      <c r="D6" s="52"/>
      <c r="E6" s="52"/>
    </row>
    <row r="7" spans="1:10" ht="14.25" customHeight="1">
      <c r="B7" s="8"/>
      <c r="C7" s="8"/>
      <c r="D7" s="8"/>
      <c r="E7" s="8"/>
      <c r="F7" s="8"/>
      <c r="G7" s="8"/>
      <c r="H7" s="8"/>
    </row>
    <row r="8" spans="1:10" ht="14.25" customHeight="1">
      <c r="A8" s="8"/>
      <c r="B8" s="8"/>
      <c r="C8" s="8"/>
      <c r="D8" s="8"/>
      <c r="E8" s="8"/>
      <c r="F8" s="8"/>
      <c r="G8" s="8"/>
      <c r="H8" s="8"/>
    </row>
    <row r="9" spans="1:10" ht="15" customHeight="1">
      <c r="D9" s="88" t="s">
        <v>127</v>
      </c>
      <c r="E9" s="88"/>
      <c r="F9" s="123" t="s">
        <v>123</v>
      </c>
      <c r="G9" s="123"/>
      <c r="H9" s="123" t="s">
        <v>128</v>
      </c>
      <c r="I9" s="123"/>
    </row>
    <row r="10" spans="1:10">
      <c r="A10" s="88" t="s">
        <v>129</v>
      </c>
      <c r="B10" s="88"/>
      <c r="D10" s="7" t="s">
        <v>130</v>
      </c>
      <c r="F10" s="7" t="s">
        <v>131</v>
      </c>
      <c r="G10" s="7" t="s">
        <v>132</v>
      </c>
      <c r="H10" s="7" t="s">
        <v>131</v>
      </c>
      <c r="I10" s="7" t="s">
        <v>133</v>
      </c>
    </row>
    <row r="11" spans="1:10">
      <c r="A11" s="4" t="s">
        <v>134</v>
      </c>
      <c r="C11" s="95">
        <v>5</v>
      </c>
    </row>
    <row r="12" spans="1:10">
      <c r="A12" s="4" t="s">
        <v>135</v>
      </c>
      <c r="C12" s="96">
        <v>115</v>
      </c>
    </row>
    <row r="13" spans="1:10" ht="15" customHeight="1">
      <c r="A13" s="4" t="s">
        <v>136</v>
      </c>
      <c r="D13" s="23">
        <f>C11*C12</f>
        <v>575</v>
      </c>
      <c r="F13" s="97">
        <v>1</v>
      </c>
      <c r="G13" s="23">
        <f>D13*F13</f>
        <v>575</v>
      </c>
      <c r="H13" s="91">
        <f>1-F13</f>
        <v>0</v>
      </c>
      <c r="I13" s="23">
        <f>D13*H13</f>
        <v>0</v>
      </c>
    </row>
    <row r="14" spans="1:10">
      <c r="A14" s="4" t="s">
        <v>137</v>
      </c>
      <c r="D14" s="96">
        <v>20</v>
      </c>
      <c r="F14" s="97">
        <v>1</v>
      </c>
      <c r="G14" s="23">
        <f t="shared" ref="G14:G15" si="0">D14*F14</f>
        <v>20</v>
      </c>
      <c r="H14" s="91">
        <f t="shared" ref="H14:H15" si="1">1-F14</f>
        <v>0</v>
      </c>
      <c r="I14" s="23">
        <f t="shared" ref="I14:I15" si="2">D14*H14</f>
        <v>0</v>
      </c>
      <c r="J14" s="5"/>
    </row>
    <row r="15" spans="1:10">
      <c r="A15" s="4" t="s">
        <v>138</v>
      </c>
      <c r="D15" s="23">
        <f>C16*C17</f>
        <v>450</v>
      </c>
      <c r="F15" s="97">
        <v>1</v>
      </c>
      <c r="G15" s="23">
        <f t="shared" si="0"/>
        <v>450</v>
      </c>
      <c r="H15" s="91">
        <f t="shared" si="1"/>
        <v>0</v>
      </c>
      <c r="I15" s="23">
        <f t="shared" si="2"/>
        <v>0</v>
      </c>
      <c r="J15" s="5"/>
    </row>
    <row r="16" spans="1:10">
      <c r="A16" s="6" t="s">
        <v>139</v>
      </c>
      <c r="B16" s="6"/>
      <c r="C16" s="98">
        <v>2.5</v>
      </c>
      <c r="D16" s="23"/>
      <c r="J16" s="5"/>
    </row>
    <row r="17" spans="1:12">
      <c r="A17" s="6" t="s">
        <v>140</v>
      </c>
      <c r="B17" s="6"/>
      <c r="C17" s="99">
        <v>180</v>
      </c>
      <c r="D17" s="23"/>
      <c r="J17" s="5"/>
      <c r="L17" s="6"/>
    </row>
    <row r="18" spans="1:12" ht="15.75" customHeight="1">
      <c r="A18" s="4" t="s">
        <v>71</v>
      </c>
      <c r="D18" s="96">
        <v>25</v>
      </c>
      <c r="F18" s="97">
        <v>1</v>
      </c>
      <c r="G18" s="23">
        <f t="shared" ref="G18:G25" si="3">D18*F18</f>
        <v>25</v>
      </c>
      <c r="H18" s="91">
        <f t="shared" ref="H18:H25" si="4">1-F18</f>
        <v>0</v>
      </c>
      <c r="I18" s="23">
        <f t="shared" ref="I18:I25" si="5">D18*H18</f>
        <v>0</v>
      </c>
    </row>
    <row r="19" spans="1:12">
      <c r="A19" s="4" t="s">
        <v>141</v>
      </c>
      <c r="D19" s="96">
        <v>25</v>
      </c>
      <c r="F19" s="97">
        <v>0.5</v>
      </c>
      <c r="G19" s="23">
        <f t="shared" si="3"/>
        <v>12.5</v>
      </c>
      <c r="H19" s="91">
        <f t="shared" si="4"/>
        <v>0.5</v>
      </c>
      <c r="I19" s="23">
        <f t="shared" si="5"/>
        <v>12.5</v>
      </c>
    </row>
    <row r="20" spans="1:12">
      <c r="A20" s="4" t="s">
        <v>142</v>
      </c>
      <c r="D20" s="96">
        <v>30</v>
      </c>
      <c r="F20" s="97">
        <v>1</v>
      </c>
      <c r="G20" s="23">
        <f t="shared" si="3"/>
        <v>30</v>
      </c>
      <c r="H20" s="91">
        <f t="shared" si="4"/>
        <v>0</v>
      </c>
      <c r="I20" s="23">
        <f t="shared" si="5"/>
        <v>0</v>
      </c>
    </row>
    <row r="21" spans="1:12">
      <c r="A21" s="4" t="s">
        <v>143</v>
      </c>
      <c r="D21" s="96">
        <v>30</v>
      </c>
      <c r="F21" s="97">
        <v>1</v>
      </c>
      <c r="G21" s="23">
        <f t="shared" si="3"/>
        <v>30</v>
      </c>
      <c r="H21" s="91">
        <f t="shared" si="4"/>
        <v>0</v>
      </c>
      <c r="I21" s="23">
        <f t="shared" si="5"/>
        <v>0</v>
      </c>
    </row>
    <row r="22" spans="1:12" ht="16" customHeight="1">
      <c r="A22" s="4" t="s">
        <v>144</v>
      </c>
      <c r="D22" s="96">
        <v>20</v>
      </c>
      <c r="F22" s="97">
        <v>0.9</v>
      </c>
      <c r="G22" s="23">
        <f>D22*F22</f>
        <v>18</v>
      </c>
      <c r="H22" s="91">
        <f t="shared" si="4"/>
        <v>9.9999999999999978E-2</v>
      </c>
      <c r="I22" s="23">
        <f t="shared" si="5"/>
        <v>1.9999999999999996</v>
      </c>
    </row>
    <row r="23" spans="1:12">
      <c r="A23" s="4" t="s">
        <v>145</v>
      </c>
      <c r="D23" s="96">
        <v>30</v>
      </c>
      <c r="F23" s="97">
        <v>1</v>
      </c>
      <c r="G23" s="23">
        <f t="shared" si="3"/>
        <v>30</v>
      </c>
      <c r="H23" s="91">
        <f t="shared" si="4"/>
        <v>0</v>
      </c>
      <c r="I23" s="23">
        <f t="shared" si="5"/>
        <v>0</v>
      </c>
    </row>
    <row r="24" spans="1:12">
      <c r="A24" s="4" t="s">
        <v>146</v>
      </c>
      <c r="D24" s="96">
        <v>30</v>
      </c>
      <c r="F24" s="97">
        <v>1</v>
      </c>
      <c r="G24" s="23">
        <f t="shared" si="3"/>
        <v>30</v>
      </c>
      <c r="H24" s="91">
        <f t="shared" si="4"/>
        <v>0</v>
      </c>
      <c r="I24" s="23">
        <f t="shared" si="5"/>
        <v>0</v>
      </c>
    </row>
    <row r="25" spans="1:12">
      <c r="A25" s="4" t="s">
        <v>147</v>
      </c>
      <c r="D25" s="96">
        <v>20</v>
      </c>
      <c r="F25" s="97">
        <v>1</v>
      </c>
      <c r="G25" s="23">
        <f t="shared" si="3"/>
        <v>20</v>
      </c>
      <c r="H25" s="91">
        <f t="shared" si="4"/>
        <v>0</v>
      </c>
      <c r="I25" s="23">
        <f t="shared" si="5"/>
        <v>0</v>
      </c>
    </row>
    <row r="26" spans="1:12">
      <c r="A26" s="4" t="s">
        <v>148</v>
      </c>
      <c r="D26" s="23">
        <f>(SUM(OperatingExpense)*InterestRate)/2</f>
        <v>50.2</v>
      </c>
      <c r="G26" s="23">
        <f>(SUM(G13:G25)*InterestRate)/2</f>
        <v>49.620000000000005</v>
      </c>
      <c r="I26" s="23">
        <f>(SUM(I13:I25)*InterestRate)/2</f>
        <v>0.57999999999999996</v>
      </c>
    </row>
    <row r="27" spans="1:12">
      <c r="A27" s="88" t="s">
        <v>149</v>
      </c>
      <c r="B27" s="88"/>
      <c r="D27" s="23">
        <f>SUM(D13:D26)</f>
        <v>1305.2</v>
      </c>
      <c r="G27" s="23">
        <f>SUM(G13:G26)</f>
        <v>1290.1199999999999</v>
      </c>
      <c r="I27" s="23">
        <f>SUM(I13:I26)</f>
        <v>15.08</v>
      </c>
    </row>
    <row r="28" spans="1:12">
      <c r="A28" s="88"/>
      <c r="B28" s="88"/>
      <c r="D28" s="23"/>
      <c r="G28" s="23"/>
      <c r="I28" s="23"/>
    </row>
    <row r="29" spans="1:12">
      <c r="A29" s="88" t="s">
        <v>150</v>
      </c>
      <c r="B29" s="88"/>
    </row>
    <row r="30" spans="1:12">
      <c r="A30" s="4" t="s">
        <v>151</v>
      </c>
      <c r="D30" s="96">
        <v>45</v>
      </c>
      <c r="E30" s="100"/>
      <c r="F30" s="97">
        <v>1</v>
      </c>
      <c r="G30" s="23">
        <f t="shared" ref="G30:G37" si="6">D30*F30</f>
        <v>45</v>
      </c>
      <c r="H30" s="91">
        <f t="shared" ref="H30:H37" si="7">1-F30</f>
        <v>0</v>
      </c>
      <c r="I30" s="23">
        <f t="shared" ref="I30:I37" si="8">D30*H30</f>
        <v>0</v>
      </c>
    </row>
    <row r="31" spans="1:12" ht="18">
      <c r="A31" s="14" t="s">
        <v>159</v>
      </c>
      <c r="C31" s="6"/>
      <c r="D31" s="23">
        <f>AvgCowInvest*0.01</f>
        <v>28.75</v>
      </c>
      <c r="F31" s="91">
        <f>'Cow Herd Description'!F25</f>
        <v>0</v>
      </c>
      <c r="G31" s="23">
        <f t="shared" si="6"/>
        <v>0</v>
      </c>
      <c r="H31" s="91">
        <f t="shared" si="7"/>
        <v>1</v>
      </c>
      <c r="I31" s="23">
        <f t="shared" si="8"/>
        <v>28.75</v>
      </c>
    </row>
    <row r="32" spans="1:12">
      <c r="A32" s="4" t="s">
        <v>152</v>
      </c>
      <c r="D32" s="23">
        <f>AvgCowInvest*InterestRate</f>
        <v>230</v>
      </c>
      <c r="F32" s="91">
        <f>'Cow Herd Description'!F25</f>
        <v>0</v>
      </c>
      <c r="G32" s="23">
        <f t="shared" si="6"/>
        <v>0</v>
      </c>
      <c r="H32" s="91">
        <f t="shared" si="7"/>
        <v>1</v>
      </c>
      <c r="I32" s="23">
        <f t="shared" si="8"/>
        <v>230</v>
      </c>
    </row>
    <row r="33" spans="1:9">
      <c r="A33" s="4" t="s">
        <v>153</v>
      </c>
      <c r="D33" s="23">
        <f>(AvgCowValue-CowSalvageValue)*ReplacementRate</f>
        <v>315</v>
      </c>
      <c r="F33" s="91">
        <f>'Cow Herd Description'!F25</f>
        <v>0</v>
      </c>
      <c r="G33" s="23">
        <f t="shared" si="6"/>
        <v>0</v>
      </c>
      <c r="H33" s="91">
        <f t="shared" si="7"/>
        <v>1</v>
      </c>
      <c r="I33" s="23">
        <f t="shared" si="8"/>
        <v>315</v>
      </c>
    </row>
    <row r="34" spans="1:9" ht="18">
      <c r="A34" s="4" t="s">
        <v>160</v>
      </c>
      <c r="B34" s="14"/>
      <c r="D34" s="23">
        <f>Bull_Invest_per_cow*0.01</f>
        <v>2.0833333333333335</v>
      </c>
      <c r="F34" s="91">
        <f>'Cow Herd Description'!F27</f>
        <v>0.5</v>
      </c>
      <c r="G34" s="23">
        <f t="shared" si="6"/>
        <v>1.0416666666666667</v>
      </c>
      <c r="H34" s="91">
        <f t="shared" si="7"/>
        <v>0.5</v>
      </c>
      <c r="I34" s="23">
        <f t="shared" si="8"/>
        <v>1.0416666666666667</v>
      </c>
    </row>
    <row r="35" spans="1:9">
      <c r="A35" s="4" t="s">
        <v>154</v>
      </c>
      <c r="D35" s="23">
        <f>Bull_Invest_per_cow*InterestRate</f>
        <v>16.666666666666668</v>
      </c>
      <c r="F35" s="91">
        <f>'Cow Herd Description'!F27</f>
        <v>0.5</v>
      </c>
      <c r="G35" s="23">
        <f t="shared" si="6"/>
        <v>8.3333333333333339</v>
      </c>
      <c r="H35" s="91">
        <f t="shared" si="7"/>
        <v>0.5</v>
      </c>
      <c r="I35" s="23">
        <f t="shared" si="8"/>
        <v>8.3333333333333339</v>
      </c>
    </row>
    <row r="36" spans="1:9">
      <c r="A36" s="4" t="s">
        <v>155</v>
      </c>
      <c r="D36" s="23">
        <f>((BullValue-Cull_Bull_Value)*(NumberBulls/NumberCows))/Bull_Life</f>
        <v>37.5</v>
      </c>
      <c r="F36" s="91">
        <f>'Cow Herd Description'!F27</f>
        <v>0.5</v>
      </c>
      <c r="G36" s="23">
        <f t="shared" si="6"/>
        <v>18.75</v>
      </c>
      <c r="H36" s="91">
        <f t="shared" si="7"/>
        <v>0.5</v>
      </c>
      <c r="I36" s="23">
        <f t="shared" si="8"/>
        <v>18.75</v>
      </c>
    </row>
    <row r="37" spans="1:9" ht="18">
      <c r="A37" s="4" t="s">
        <v>161</v>
      </c>
      <c r="D37" s="96">
        <v>120</v>
      </c>
      <c r="E37" s="100"/>
      <c r="F37" s="97">
        <v>1</v>
      </c>
      <c r="G37" s="23">
        <f t="shared" si="6"/>
        <v>120</v>
      </c>
      <c r="H37" s="91">
        <f t="shared" si="7"/>
        <v>0</v>
      </c>
      <c r="I37" s="23">
        <f t="shared" si="8"/>
        <v>0</v>
      </c>
    </row>
    <row r="38" spans="1:9">
      <c r="A38" s="4" t="s">
        <v>156</v>
      </c>
      <c r="D38" s="23">
        <f>(D27+SUM(D30:D37))*0.1</f>
        <v>210.01999999999998</v>
      </c>
      <c r="F38" s="91"/>
      <c r="G38" s="23">
        <f>(G27+SUM(G30:G37))*0.1</f>
        <v>148.3245</v>
      </c>
      <c r="I38" s="23">
        <f>(I27+SUM(I30:I37))*0.1</f>
        <v>61.69550000000001</v>
      </c>
    </row>
    <row r="39" spans="1:9">
      <c r="A39" s="88" t="s">
        <v>157</v>
      </c>
      <c r="B39" s="88"/>
      <c r="D39" s="23">
        <f>SUM(D30:D38)</f>
        <v>1005.02</v>
      </c>
      <c r="G39" s="23">
        <f>SUM(G30:G38)</f>
        <v>341.4495</v>
      </c>
      <c r="I39" s="23">
        <f>SUM(I30:I38)</f>
        <v>663.57050000000004</v>
      </c>
    </row>
    <row r="40" spans="1:9">
      <c r="A40" s="88" t="s">
        <v>158</v>
      </c>
      <c r="B40" s="93"/>
      <c r="C40" s="94"/>
      <c r="D40" s="23">
        <f>D27+D39</f>
        <v>2310.2200000000003</v>
      </c>
      <c r="E40" s="94"/>
      <c r="F40" s="94"/>
      <c r="G40" s="23">
        <f>G27+G39</f>
        <v>1631.5694999999998</v>
      </c>
      <c r="H40" s="94"/>
      <c r="I40" s="23">
        <f>I27+I39</f>
        <v>678.65050000000008</v>
      </c>
    </row>
    <row r="43" spans="1:9" ht="18">
      <c r="A43" s="4" t="s">
        <v>188</v>
      </c>
    </row>
    <row r="44" spans="1:9" ht="18">
      <c r="A44" s="4" t="s">
        <v>189</v>
      </c>
    </row>
    <row r="45" spans="1:9">
      <c r="A45" s="4" t="s">
        <v>162</v>
      </c>
    </row>
    <row r="46" spans="1:9">
      <c r="A46" s="4" t="s">
        <v>163</v>
      </c>
    </row>
  </sheetData>
  <sheetProtection algorithmName="SHA-512" hashValue="Cbp4Kom/iZgvPJybeSyq8gbV4I48JzdfwVKanDTrTCEbmGh0ln8KCiYbmoYU7K2qWXa66YNEYa0HYP0X/2EwTA==" saltValue="oB7NgjT7tBOHlT0yKZqLsQ==" spinCount="100000" sheet="1" objects="1" scenarios="1"/>
  <mergeCells count="2">
    <mergeCell ref="F9:G9"/>
    <mergeCell ref="H9:I9"/>
  </mergeCells>
  <pageMargins left="0.25" right="0.25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9A44"/>
    <pageSetUpPr fitToPage="1"/>
  </sheetPr>
  <dimension ref="A2:U112"/>
  <sheetViews>
    <sheetView zoomScaleNormal="100" workbookViewId="0">
      <selection activeCell="N26" sqref="N26"/>
    </sheetView>
  </sheetViews>
  <sheetFormatPr baseColWidth="10" defaultColWidth="9" defaultRowHeight="16"/>
  <cols>
    <col min="1" max="1" width="6.6640625" style="4" customWidth="1"/>
    <col min="2" max="2" width="14.33203125" style="4" customWidth="1"/>
    <col min="3" max="5" width="11.33203125" style="4" customWidth="1"/>
    <col min="6" max="6" width="6.83203125" style="4" customWidth="1"/>
    <col min="7" max="7" width="12.83203125" style="4" bestFit="1" customWidth="1"/>
    <col min="8" max="8" width="6" style="4" customWidth="1"/>
    <col min="9" max="9" width="12.83203125" style="4" customWidth="1"/>
    <col min="10" max="10" width="11.6640625" customWidth="1"/>
    <col min="11" max="11" width="12" style="4" bestFit="1" customWidth="1"/>
    <col min="12" max="16384" width="9" style="4"/>
  </cols>
  <sheetData>
    <row r="2" spans="1:11" ht="20" customHeight="1">
      <c r="A2" s="63" t="s">
        <v>164</v>
      </c>
      <c r="B2" s="53"/>
      <c r="C2" s="53"/>
      <c r="D2" s="53"/>
      <c r="E2" s="53"/>
      <c r="F2" s="53"/>
    </row>
    <row r="3" spans="1:11" ht="19" customHeight="1">
      <c r="A3" s="63" t="s">
        <v>165</v>
      </c>
      <c r="B3" s="53"/>
      <c r="C3" s="53"/>
      <c r="D3" s="53"/>
      <c r="E3" s="53"/>
      <c r="F3" s="53"/>
    </row>
    <row r="4" spans="1:11" ht="16" customHeight="1">
      <c r="A4" s="52"/>
      <c r="B4" s="52"/>
      <c r="C4" s="52"/>
      <c r="D4" s="52"/>
      <c r="E4" s="52"/>
      <c r="F4" s="52"/>
    </row>
    <row r="5" spans="1:11" ht="16" customHeight="1">
      <c r="A5" s="52"/>
      <c r="B5" s="52"/>
      <c r="C5" s="52"/>
      <c r="D5" s="52"/>
      <c r="E5" s="52"/>
      <c r="F5" s="52"/>
    </row>
    <row r="6" spans="1:11" ht="16" customHeight="1">
      <c r="A6" s="52"/>
      <c r="B6" s="52"/>
      <c r="C6" s="52"/>
      <c r="D6" s="52"/>
      <c r="E6" s="52"/>
      <c r="F6" s="52"/>
    </row>
    <row r="7" spans="1:11">
      <c r="A7" s="58"/>
      <c r="B7" s="58"/>
    </row>
    <row r="9" spans="1:11">
      <c r="E9" s="88" t="s">
        <v>166</v>
      </c>
      <c r="I9" s="92" t="s">
        <v>123</v>
      </c>
      <c r="J9" s="92"/>
      <c r="K9" s="92" t="s">
        <v>128</v>
      </c>
    </row>
    <row r="10" spans="1:11">
      <c r="A10" s="88" t="s">
        <v>158</v>
      </c>
      <c r="B10" s="94"/>
      <c r="C10" s="94"/>
      <c r="E10" s="23">
        <f>TotalContribute</f>
        <v>2310.2200000000003</v>
      </c>
      <c r="F10" s="23"/>
      <c r="I10" s="23">
        <f>OperaterContribution</f>
        <v>1631.5694999999998</v>
      </c>
      <c r="J10" s="23"/>
      <c r="K10" s="23">
        <f>OwnerContribution</f>
        <v>678.65050000000008</v>
      </c>
    </row>
    <row r="11" spans="1:11">
      <c r="J11" s="4"/>
    </row>
    <row r="12" spans="1:11">
      <c r="A12" s="88" t="s">
        <v>167</v>
      </c>
      <c r="I12" s="115">
        <f>OperaterContribution/TotalContribute</f>
        <v>0.70623988191600784</v>
      </c>
      <c r="J12" s="115"/>
      <c r="K12" s="115">
        <f>OwnerContribution/TotalContribute</f>
        <v>0.29376011808399199</v>
      </c>
    </row>
    <row r="13" spans="1:11">
      <c r="J13" s="4"/>
    </row>
    <row r="14" spans="1:11">
      <c r="A14" s="123" t="s">
        <v>168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</row>
    <row r="15" spans="1:11">
      <c r="J15" s="4"/>
    </row>
    <row r="16" spans="1:11">
      <c r="A16" s="4" t="s">
        <v>169</v>
      </c>
      <c r="E16" s="97">
        <v>0.95</v>
      </c>
      <c r="J16" s="4"/>
    </row>
    <row r="17" spans="1:14">
      <c r="D17" s="4" t="s">
        <v>170</v>
      </c>
      <c r="E17" s="6" t="s">
        <v>171</v>
      </c>
      <c r="G17" s="88" t="s">
        <v>166</v>
      </c>
      <c r="H17" s="88"/>
      <c r="I17" s="88" t="s">
        <v>123</v>
      </c>
      <c r="J17" s="4"/>
      <c r="K17" s="92" t="s">
        <v>128</v>
      </c>
      <c r="L17" s="105"/>
      <c r="M17" s="105"/>
      <c r="N17" s="105"/>
    </row>
    <row r="18" spans="1:14">
      <c r="A18" s="4" t="s">
        <v>172</v>
      </c>
      <c r="D18" s="95">
        <v>600</v>
      </c>
      <c r="E18" s="96">
        <v>3.8</v>
      </c>
      <c r="G18" s="116">
        <f>(SteerWt*SteerPrice*WeanPercent)/2</f>
        <v>1083</v>
      </c>
      <c r="H18" s="116"/>
      <c r="I18" s="116">
        <f>ROUND(OperatorShare,2)*$G18</f>
        <v>768.93</v>
      </c>
      <c r="J18" s="116"/>
      <c r="K18" s="116">
        <f>ROUND(OwnerShare,2)*$G18</f>
        <v>314.07</v>
      </c>
      <c r="L18" s="105"/>
      <c r="M18" s="105"/>
      <c r="N18" s="105"/>
    </row>
    <row r="19" spans="1:14">
      <c r="A19" s="4" t="s">
        <v>173</v>
      </c>
      <c r="D19" s="95">
        <v>550</v>
      </c>
      <c r="E19" s="96">
        <v>3.45</v>
      </c>
      <c r="G19" s="116">
        <f>(HeiferWt*HeiferPrice*WeanPercent)/2</f>
        <v>901.3125</v>
      </c>
      <c r="H19" s="116"/>
      <c r="I19" s="116">
        <f>ROUND(OperatorShare,2)*$G19</f>
        <v>639.93187499999999</v>
      </c>
      <c r="J19" s="116"/>
      <c r="K19" s="116">
        <f>ROUND(OwnerShare,2)*$G19</f>
        <v>261.38062500000001</v>
      </c>
    </row>
    <row r="20" spans="1:14">
      <c r="A20" s="4" t="s">
        <v>174</v>
      </c>
      <c r="G20" s="116">
        <f>CowSalvageValue*ReplacementRate</f>
        <v>360</v>
      </c>
      <c r="H20" s="116"/>
      <c r="I20" s="116">
        <f>G20*'Cow Herd Description'!F25</f>
        <v>0</v>
      </c>
      <c r="J20" s="116"/>
      <c r="K20" s="116">
        <f>G20*'Cow Herd Description'!D25</f>
        <v>360</v>
      </c>
    </row>
    <row r="21" spans="1:14">
      <c r="A21" s="4" t="s">
        <v>175</v>
      </c>
      <c r="G21" s="116">
        <f>(Cull_Bull_Value*(NumberBulls/NumberCows))/Bull_Life</f>
        <v>33.333333333333336</v>
      </c>
      <c r="H21" s="116"/>
      <c r="I21" s="116">
        <f>G21*'Cow Herd Description'!F27</f>
        <v>16.666666666666668</v>
      </c>
      <c r="J21" s="116"/>
      <c r="K21" s="116">
        <f>G21*'Cow Herd Description'!D27</f>
        <v>16.666666666666668</v>
      </c>
    </row>
    <row r="22" spans="1:14">
      <c r="A22" s="4" t="s">
        <v>176</v>
      </c>
      <c r="G22" s="116">
        <f>-'Cow Herd Description'!E16*ReplacementRate</f>
        <v>-738</v>
      </c>
      <c r="H22" s="116"/>
      <c r="I22" s="116">
        <f>G22*'Cow Herd Description'!F25</f>
        <v>0</v>
      </c>
      <c r="J22" s="116"/>
      <c r="K22" s="116">
        <f>G22*'Cow Herd Description'!D25</f>
        <v>-738</v>
      </c>
    </row>
    <row r="23" spans="1:14">
      <c r="A23" s="4" t="s">
        <v>177</v>
      </c>
      <c r="G23" s="116">
        <f>(-BullValue*(NumberBulls/NumberCows))/Bull_Life</f>
        <v>-70.833333333333329</v>
      </c>
      <c r="H23" s="116"/>
      <c r="I23" s="116">
        <f>G23*'Cow Herd Description'!F27</f>
        <v>-35.416666666666664</v>
      </c>
      <c r="J23" s="116"/>
      <c r="K23" s="116">
        <f>G23*'Cow Herd Description'!D27</f>
        <v>-35.416666666666664</v>
      </c>
    </row>
    <row r="24" spans="1:14" ht="16.5" customHeight="1">
      <c r="A24" s="4" t="s">
        <v>178</v>
      </c>
      <c r="G24" s="116">
        <f>SUM(G18:G23)</f>
        <v>1568.8125000000002</v>
      </c>
      <c r="H24" s="116"/>
      <c r="I24" s="116">
        <f>SUM(I18:I23)</f>
        <v>1390.1118750000001</v>
      </c>
      <c r="J24" s="116"/>
      <c r="K24" s="116">
        <f>SUM(K18:K23)</f>
        <v>178.70062499999992</v>
      </c>
      <c r="L24" s="56"/>
      <c r="M24" s="56"/>
      <c r="N24" s="56"/>
    </row>
    <row r="25" spans="1:14">
      <c r="A25" s="4" t="s">
        <v>179</v>
      </c>
      <c r="G25" s="116"/>
      <c r="H25" s="116"/>
      <c r="I25" s="116">
        <f>'Production Expenses'!G27</f>
        <v>1290.1199999999999</v>
      </c>
      <c r="J25" s="116"/>
      <c r="K25" s="116">
        <f>'Production Expenses'!I27</f>
        <v>15.08</v>
      </c>
      <c r="L25" s="56"/>
      <c r="M25" s="56"/>
      <c r="N25" s="56"/>
    </row>
    <row r="26" spans="1:14">
      <c r="J26" s="4"/>
      <c r="L26" s="56"/>
      <c r="M26" s="56"/>
      <c r="N26" s="56"/>
    </row>
    <row r="27" spans="1:14">
      <c r="A27" s="88" t="s">
        <v>191</v>
      </c>
      <c r="I27" s="23">
        <f>I24-I25</f>
        <v>99.991875000000164</v>
      </c>
      <c r="J27" s="4"/>
      <c r="K27" s="23">
        <f>K24-K25</f>
        <v>163.6206249999999</v>
      </c>
      <c r="L27" s="56"/>
      <c r="M27" s="56"/>
      <c r="N27" s="56"/>
    </row>
    <row r="28" spans="1:14">
      <c r="J28" s="4"/>
      <c r="L28" s="56"/>
      <c r="M28" s="56"/>
      <c r="N28" s="56"/>
    </row>
    <row r="29" spans="1:14">
      <c r="A29" s="88" t="s">
        <v>180</v>
      </c>
      <c r="J29" s="4"/>
      <c r="K29" s="117">
        <f>IF('Cow Herd Description'!D25=0," ",Analysis!K27/CowOwnerInvestment)</f>
        <v>5.4921608391608361E-2</v>
      </c>
    </row>
    <row r="30" spans="1:14">
      <c r="D30" s="79"/>
      <c r="E30" s="17"/>
      <c r="I30" s="106"/>
    </row>
    <row r="31" spans="1:14" ht="15.75" customHeight="1">
      <c r="D31" s="101"/>
    </row>
    <row r="32" spans="1:14" ht="16" customHeight="1">
      <c r="A32" s="16"/>
      <c r="D32" s="17"/>
    </row>
    <row r="33" spans="1:14">
      <c r="F33" s="5"/>
      <c r="H33" s="5"/>
    </row>
    <row r="34" spans="1:14" ht="15" customHeight="1">
      <c r="B34" s="16"/>
      <c r="F34" s="86"/>
      <c r="H34" s="102"/>
      <c r="K34" s="18"/>
      <c r="L34" s="18"/>
      <c r="M34" s="18"/>
      <c r="N34" s="18"/>
    </row>
    <row r="35" spans="1:14">
      <c r="B35" s="16"/>
      <c r="F35" s="86"/>
      <c r="H35" s="102"/>
      <c r="K35" s="18"/>
      <c r="L35" s="18"/>
      <c r="M35" s="18"/>
      <c r="N35" s="18"/>
    </row>
    <row r="36" spans="1:14">
      <c r="B36" s="16"/>
      <c r="F36" s="86"/>
      <c r="H36" s="102"/>
      <c r="K36" s="18"/>
      <c r="L36" s="18"/>
      <c r="M36" s="18"/>
      <c r="N36" s="18"/>
    </row>
    <row r="37" spans="1:14">
      <c r="B37" s="16"/>
      <c r="F37" s="86"/>
      <c r="H37" s="102"/>
      <c r="K37" s="18"/>
      <c r="L37" s="18"/>
      <c r="M37" s="18"/>
      <c r="N37" s="18"/>
    </row>
    <row r="38" spans="1:14" ht="15" customHeight="1">
      <c r="B38" s="16"/>
      <c r="F38" s="86"/>
      <c r="H38" s="102"/>
      <c r="K38" s="18"/>
      <c r="L38" s="18"/>
      <c r="M38" s="18"/>
      <c r="N38" s="18"/>
    </row>
    <row r="39" spans="1:14">
      <c r="B39" s="16"/>
      <c r="F39" s="86"/>
      <c r="H39" s="102"/>
      <c r="K39" s="18"/>
      <c r="L39" s="18"/>
      <c r="M39" s="18"/>
      <c r="N39" s="18"/>
    </row>
    <row r="40" spans="1:14">
      <c r="B40" s="16"/>
      <c r="F40" s="86"/>
      <c r="H40" s="102"/>
      <c r="K40" s="18"/>
      <c r="L40" s="18"/>
      <c r="M40" s="18"/>
      <c r="N40" s="18"/>
    </row>
    <row r="41" spans="1:14">
      <c r="B41" s="16"/>
      <c r="F41" s="86"/>
      <c r="H41" s="102"/>
      <c r="K41" s="18"/>
      <c r="L41" s="18"/>
      <c r="M41" s="18"/>
      <c r="N41" s="18"/>
    </row>
    <row r="42" spans="1:14">
      <c r="B42" s="16"/>
      <c r="F42" s="86"/>
      <c r="H42" s="102"/>
      <c r="K42" s="18"/>
      <c r="L42" s="18"/>
      <c r="M42" s="18"/>
      <c r="N42" s="18"/>
    </row>
    <row r="43" spans="1:14">
      <c r="B43" s="16"/>
      <c r="D43" s="14"/>
      <c r="H43" s="102"/>
    </row>
    <row r="44" spans="1:14">
      <c r="B44" s="16"/>
      <c r="D44" s="14"/>
      <c r="H44" s="102"/>
    </row>
    <row r="45" spans="1:14" ht="20" customHeight="1">
      <c r="A45" s="63"/>
      <c r="B45" s="54"/>
      <c r="C45" s="54"/>
      <c r="D45" s="54"/>
      <c r="E45" s="54"/>
      <c r="F45" s="54"/>
      <c r="H45" s="102"/>
    </row>
    <row r="46" spans="1:14" ht="19" customHeight="1">
      <c r="A46" s="63"/>
      <c r="B46" s="54"/>
      <c r="C46" s="54"/>
      <c r="D46" s="54"/>
      <c r="E46" s="54"/>
      <c r="F46" s="54"/>
      <c r="H46" s="102"/>
    </row>
    <row r="47" spans="1:14" ht="16" customHeight="1">
      <c r="A47" s="107"/>
      <c r="B47" s="107"/>
      <c r="C47" s="107"/>
      <c r="D47" s="107"/>
      <c r="E47" s="107"/>
      <c r="F47" s="107"/>
      <c r="H47" s="102"/>
    </row>
    <row r="48" spans="1:14" ht="16" customHeight="1">
      <c r="A48" s="107"/>
      <c r="B48" s="107"/>
      <c r="C48" s="107"/>
      <c r="D48" s="107"/>
      <c r="E48" s="107"/>
      <c r="F48" s="107"/>
      <c r="H48" s="102"/>
    </row>
    <row r="49" spans="1:9" ht="16" customHeight="1">
      <c r="A49" s="107"/>
      <c r="B49" s="107"/>
      <c r="C49" s="107"/>
      <c r="D49" s="107"/>
      <c r="E49" s="107"/>
      <c r="F49" s="107"/>
      <c r="H49" s="102"/>
    </row>
    <row r="50" spans="1:9">
      <c r="A50" s="58"/>
      <c r="B50" s="58"/>
      <c r="D50" s="14"/>
      <c r="H50" s="102"/>
    </row>
    <row r="51" spans="1:9">
      <c r="A51" s="14"/>
    </row>
    <row r="52" spans="1:9">
      <c r="A52" s="15"/>
    </row>
    <row r="53" spans="1:9">
      <c r="C53" s="14"/>
      <c r="E53" s="6"/>
      <c r="F53" s="6"/>
      <c r="G53" s="23"/>
      <c r="H53" s="23"/>
    </row>
    <row r="54" spans="1:9">
      <c r="C54" s="14"/>
      <c r="E54" s="6"/>
      <c r="F54" s="6"/>
      <c r="G54" s="23"/>
      <c r="H54" s="23"/>
      <c r="I54" s="24"/>
    </row>
    <row r="55" spans="1:9">
      <c r="E55" s="6"/>
      <c r="F55" s="6"/>
      <c r="G55" s="23"/>
      <c r="H55" s="23"/>
      <c r="I55" s="24"/>
    </row>
    <row r="56" spans="1:9">
      <c r="E56" s="6"/>
      <c r="F56" s="6"/>
      <c r="G56" s="23"/>
      <c r="H56" s="23"/>
    </row>
    <row r="57" spans="1:9">
      <c r="E57" s="6"/>
      <c r="F57" s="6"/>
      <c r="G57" s="23"/>
      <c r="H57" s="23"/>
    </row>
    <row r="58" spans="1:9">
      <c r="E58" s="6"/>
      <c r="F58" s="6"/>
      <c r="G58" s="23"/>
      <c r="H58" s="23"/>
    </row>
    <row r="59" spans="1:9">
      <c r="E59" s="6"/>
      <c r="F59" s="6"/>
      <c r="G59" s="23"/>
      <c r="H59" s="23"/>
    </row>
    <row r="60" spans="1:9">
      <c r="C60" s="14"/>
      <c r="E60" s="6"/>
      <c r="F60" s="6"/>
      <c r="G60" s="23"/>
      <c r="H60" s="23"/>
    </row>
    <row r="61" spans="1:9">
      <c r="C61" s="14"/>
      <c r="E61" s="6"/>
      <c r="F61" s="6"/>
      <c r="G61" s="23"/>
      <c r="H61" s="23"/>
      <c r="I61" s="24"/>
    </row>
    <row r="62" spans="1:9">
      <c r="C62" s="14"/>
      <c r="E62" s="6"/>
      <c r="F62" s="6"/>
      <c r="G62" s="23"/>
      <c r="H62" s="23"/>
      <c r="I62" s="24"/>
    </row>
    <row r="63" spans="1:9">
      <c r="B63" s="14"/>
      <c r="I63" s="24"/>
    </row>
    <row r="64" spans="1:9">
      <c r="B64" s="14"/>
      <c r="I64" s="24"/>
    </row>
    <row r="65" spans="1:21">
      <c r="B65" s="14"/>
      <c r="I65" s="24"/>
    </row>
    <row r="66" spans="1:21">
      <c r="B66" s="14"/>
      <c r="I66" s="24"/>
    </row>
    <row r="67" spans="1:21">
      <c r="B67" s="14"/>
      <c r="I67" s="103"/>
    </row>
    <row r="68" spans="1:21">
      <c r="B68" s="14"/>
      <c r="I68" s="103"/>
    </row>
    <row r="69" spans="1:21">
      <c r="B69" s="14"/>
      <c r="D69" s="15"/>
      <c r="I69" s="27"/>
    </row>
    <row r="71" spans="1:21">
      <c r="A71" s="15"/>
      <c r="L71" s="16"/>
    </row>
    <row r="72" spans="1:21" ht="15.75" customHeight="1">
      <c r="B72" s="14"/>
      <c r="E72" s="28"/>
      <c r="F72" s="29"/>
      <c r="G72" s="30"/>
      <c r="I72" s="31"/>
      <c r="K72" s="14"/>
    </row>
    <row r="73" spans="1:21">
      <c r="B73" s="14"/>
      <c r="E73" s="19"/>
      <c r="F73" s="29"/>
      <c r="G73" s="30"/>
      <c r="H73" s="14"/>
      <c r="I73" s="103"/>
      <c r="T73" s="24"/>
      <c r="U73" s="33"/>
    </row>
    <row r="74" spans="1:21">
      <c r="B74" s="14"/>
      <c r="D74" s="34"/>
      <c r="E74" s="35"/>
      <c r="F74" s="7"/>
      <c r="G74" s="24"/>
      <c r="H74" s="14"/>
      <c r="I74" s="103"/>
      <c r="T74" s="24"/>
      <c r="U74" s="33"/>
    </row>
    <row r="75" spans="1:21">
      <c r="B75" s="14"/>
      <c r="D75" s="34"/>
      <c r="E75" s="35"/>
      <c r="F75" s="7"/>
      <c r="G75" s="24"/>
      <c r="H75" s="14"/>
      <c r="I75" s="108"/>
      <c r="T75" s="24"/>
      <c r="U75" s="33"/>
    </row>
    <row r="76" spans="1:21">
      <c r="B76" s="14"/>
      <c r="D76" s="14"/>
      <c r="F76" s="7"/>
      <c r="G76" s="24"/>
      <c r="H76" s="14"/>
      <c r="I76" s="48"/>
      <c r="T76" s="24"/>
      <c r="U76" s="33"/>
    </row>
    <row r="77" spans="1:21">
      <c r="B77" s="16"/>
      <c r="D77" s="14"/>
      <c r="I77" s="102"/>
      <c r="T77" s="24"/>
      <c r="U77" s="33"/>
    </row>
    <row r="78" spans="1:21">
      <c r="B78" s="16"/>
      <c r="D78" s="14"/>
      <c r="I78" s="102"/>
      <c r="T78" s="24"/>
      <c r="U78" s="33"/>
    </row>
    <row r="79" spans="1:21">
      <c r="A79" s="16"/>
      <c r="B79" s="16"/>
      <c r="D79" s="14"/>
      <c r="I79" s="102"/>
      <c r="T79" s="24"/>
      <c r="U79" s="33"/>
    </row>
    <row r="80" spans="1:21">
      <c r="I80" s="103"/>
      <c r="T80" s="24"/>
      <c r="U80" s="33"/>
    </row>
    <row r="81" spans="1:21">
      <c r="I81" s="103"/>
      <c r="T81" s="24"/>
      <c r="U81" s="33"/>
    </row>
    <row r="82" spans="1:21">
      <c r="B82" s="16"/>
      <c r="I82" s="104"/>
      <c r="T82" s="24"/>
      <c r="U82" s="33"/>
    </row>
    <row r="83" spans="1:21">
      <c r="T83" s="24"/>
      <c r="U83" s="33"/>
    </row>
    <row r="84" spans="1:21">
      <c r="A84" s="15"/>
      <c r="T84" s="39"/>
    </row>
    <row r="85" spans="1:21" ht="16" customHeight="1">
      <c r="B85" s="59"/>
      <c r="C85" s="62"/>
      <c r="D85" s="62"/>
      <c r="E85" s="62"/>
      <c r="F85" s="62"/>
      <c r="G85" s="62"/>
      <c r="H85" s="62"/>
      <c r="I85" s="62"/>
      <c r="T85" s="24"/>
      <c r="U85" s="33"/>
    </row>
    <row r="86" spans="1:21" ht="30" customHeight="1">
      <c r="A86" s="59"/>
      <c r="B86" s="59"/>
      <c r="C86" s="103"/>
      <c r="D86" s="109"/>
      <c r="E86" s="109"/>
      <c r="F86" s="109"/>
      <c r="G86" s="109"/>
      <c r="H86" s="109"/>
      <c r="I86" s="109"/>
    </row>
    <row r="87" spans="1:21">
      <c r="A87" s="42"/>
      <c r="B87" s="110"/>
      <c r="C87" s="111"/>
      <c r="D87" s="111"/>
      <c r="E87" s="111"/>
      <c r="F87" s="111"/>
      <c r="G87" s="111"/>
      <c r="H87" s="111"/>
      <c r="I87" s="111"/>
    </row>
    <row r="88" spans="1:21">
      <c r="B88" s="110"/>
      <c r="C88" s="111"/>
      <c r="D88" s="111"/>
      <c r="E88" s="111"/>
      <c r="F88" s="111"/>
      <c r="G88" s="111"/>
      <c r="H88" s="111"/>
      <c r="I88" s="111"/>
    </row>
    <row r="89" spans="1:21">
      <c r="B89" s="110"/>
      <c r="C89" s="111"/>
      <c r="D89" s="111"/>
      <c r="E89" s="111"/>
      <c r="F89" s="111"/>
      <c r="G89" s="111"/>
      <c r="H89" s="111"/>
      <c r="I89" s="111"/>
    </row>
    <row r="90" spans="1:21">
      <c r="B90" s="110"/>
      <c r="C90" s="111"/>
      <c r="D90" s="111"/>
      <c r="E90" s="111"/>
      <c r="F90" s="111"/>
      <c r="G90" s="111"/>
      <c r="H90" s="111"/>
      <c r="I90" s="111"/>
    </row>
    <row r="91" spans="1:21">
      <c r="B91" s="110"/>
      <c r="C91" s="111"/>
      <c r="D91" s="111"/>
      <c r="E91" s="111"/>
      <c r="F91" s="111"/>
      <c r="G91" s="111"/>
      <c r="H91" s="111"/>
      <c r="I91" s="111"/>
    </row>
    <row r="92" spans="1:21">
      <c r="B92" s="110"/>
      <c r="C92" s="111"/>
      <c r="D92" s="111"/>
      <c r="E92" s="111"/>
      <c r="F92" s="111"/>
      <c r="G92" s="111"/>
      <c r="H92" s="111"/>
      <c r="I92" s="111"/>
    </row>
    <row r="94" spans="1:21" s="16" customFormat="1">
      <c r="D94" s="112"/>
      <c r="J94"/>
    </row>
    <row r="95" spans="1:21">
      <c r="C95" s="62"/>
      <c r="D95" s="62"/>
      <c r="E95" s="62"/>
      <c r="F95" s="62"/>
      <c r="G95" s="62"/>
      <c r="H95" s="62"/>
      <c r="I95" s="62"/>
    </row>
    <row r="96" spans="1:21">
      <c r="B96" s="14"/>
      <c r="C96" s="6"/>
      <c r="D96" s="6"/>
      <c r="E96" s="6"/>
      <c r="F96" s="6"/>
      <c r="G96" s="6"/>
      <c r="H96" s="6"/>
      <c r="I96" s="6"/>
    </row>
    <row r="97" spans="2:10">
      <c r="B97" s="113"/>
    </row>
    <row r="98" spans="2:10">
      <c r="B98" s="113"/>
    </row>
    <row r="99" spans="2:10">
      <c r="B99" s="113"/>
    </row>
    <row r="100" spans="2:10">
      <c r="B100" s="113"/>
    </row>
    <row r="101" spans="2:10">
      <c r="B101" s="114"/>
    </row>
    <row r="102" spans="2:10">
      <c r="B102" s="114"/>
    </row>
    <row r="104" spans="2:10" s="16" customFormat="1">
      <c r="D104" s="112"/>
      <c r="J104"/>
    </row>
    <row r="105" spans="2:10">
      <c r="C105" s="62"/>
      <c r="D105" s="62"/>
      <c r="E105" s="62"/>
      <c r="F105" s="62"/>
      <c r="G105" s="62"/>
      <c r="H105" s="62"/>
      <c r="I105" s="62"/>
    </row>
    <row r="106" spans="2:10">
      <c r="B106" s="14"/>
      <c r="C106" s="6"/>
      <c r="D106" s="6"/>
      <c r="E106" s="6"/>
      <c r="F106" s="6"/>
      <c r="G106" s="6"/>
      <c r="H106" s="6"/>
      <c r="I106" s="6"/>
    </row>
    <row r="107" spans="2:10">
      <c r="B107" s="113"/>
    </row>
    <row r="108" spans="2:10">
      <c r="B108" s="113"/>
    </row>
    <row r="109" spans="2:10">
      <c r="B109" s="113"/>
    </row>
    <row r="110" spans="2:10">
      <c r="B110" s="113"/>
    </row>
    <row r="111" spans="2:10">
      <c r="B111" s="114"/>
    </row>
    <row r="112" spans="2:10">
      <c r="B112" s="114"/>
    </row>
  </sheetData>
  <sheetProtection algorithmName="SHA-512" hashValue="K7wqg8ztchf6eiVvT8uTIkY4oTD43W9iSFQpxjxIf2GSCFX6NCEE1qpIp7hDhr6TU1vBTyT5DBdnS+yYuiyWVg==" saltValue="TEIF5WTfDCak2/z3RdcoJw==" spinCount="100000" sheet="1" objects="1" scenarios="1"/>
  <mergeCells count="1">
    <mergeCell ref="A14:K14"/>
  </mergeCells>
  <conditionalFormatting sqref="C87:I92">
    <cfRule type="colorScale" priority="6">
      <colorScale>
        <cfvo type="min"/>
        <cfvo type="num" val="$I$63"/>
        <cfvo type="max"/>
        <color rgb="FF63BE7B"/>
        <color rgb="FFFFEB84"/>
        <color rgb="FFF8696B"/>
      </colorScale>
    </cfRule>
  </conditionalFormatting>
  <conditionalFormatting sqref="C97:I102">
    <cfRule type="colorScale" priority="4">
      <colorScale>
        <cfvo type="min"/>
        <cfvo type="num" val="0"/>
        <cfvo type="max"/>
        <color rgb="FFF8696B"/>
        <color rgb="FFFFEB84"/>
        <color rgb="FF63BE7B"/>
      </colorScale>
    </cfRule>
    <cfRule type="colorScale" priority="5">
      <colorScale>
        <cfvo type="num" val="10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7:I103">
    <cfRule type="colorScale" priority="3">
      <colorScale>
        <cfvo type="num" val="0"/>
        <cfvo type="percentile" val="50"/>
        <cfvo type="max"/>
        <color rgb="FFF8696B"/>
        <color rgb="FFFFEB84"/>
        <color rgb="FF63BE7B"/>
      </colorScale>
    </cfRule>
  </conditionalFormatting>
  <conditionalFormatting sqref="C107:I112 E113">
    <cfRule type="colorScale" priority="7">
      <colorScale>
        <cfvo type="num" val="10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7:I112">
    <cfRule type="colorScale" priority="1">
      <colorScale>
        <cfvo type="num" val="0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5">
    <cfRule type="iconSet" priority="12">
      <iconSet>
        <cfvo type="percent" val="0"/>
        <cfvo type="percent" val="33"/>
        <cfvo type="percent" val="67"/>
      </iconSet>
    </cfRule>
  </conditionalFormatting>
  <pageMargins left="0.25" right="0.25" top="0.25" bottom="0.25" header="0.3" footer="0.3"/>
  <pageSetup scale="94" fitToHeight="0" orientation="portrait" r:id="rId1"/>
  <rowBreaks count="1" manualBreakCount="1">
    <brk id="82" max="16383" man="1"/>
  </rowBreaks>
  <ignoredErrors>
    <ignoredError sqref="K21:K22 I21:I2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3087"/>
    <pageSetUpPr fitToPage="1"/>
  </sheetPr>
  <dimension ref="B4:T22"/>
  <sheetViews>
    <sheetView workbookViewId="0">
      <selection activeCell="R16" sqref="R16"/>
    </sheetView>
  </sheetViews>
  <sheetFormatPr baseColWidth="10" defaultColWidth="8.83203125" defaultRowHeight="14"/>
  <cols>
    <col min="5" max="5" width="16" customWidth="1"/>
  </cols>
  <sheetData>
    <row r="4" spans="2:20" ht="18"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2:20" ht="18"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7" spans="2:20" ht="33">
      <c r="B7" s="124" t="s">
        <v>192</v>
      </c>
      <c r="C7" s="124"/>
      <c r="D7" s="124"/>
      <c r="E7" s="124"/>
    </row>
    <row r="8" spans="2:20" ht="18">
      <c r="B8" s="72" t="s">
        <v>193</v>
      </c>
      <c r="C8" s="72"/>
      <c r="D8" s="72"/>
      <c r="E8" s="72"/>
      <c r="I8" s="70"/>
      <c r="J8" s="70"/>
      <c r="K8" s="70"/>
      <c r="L8" s="70"/>
      <c r="M8" s="70"/>
      <c r="N8" s="70"/>
    </row>
    <row r="9" spans="2:20" ht="18">
      <c r="B9" s="72" t="s">
        <v>181</v>
      </c>
      <c r="C9" s="72"/>
      <c r="D9" s="72"/>
      <c r="E9" s="72"/>
      <c r="I9" s="70"/>
      <c r="J9" s="70"/>
      <c r="K9" s="70"/>
      <c r="L9" s="70"/>
      <c r="M9" s="70"/>
      <c r="N9" s="70"/>
    </row>
    <row r="11" spans="2:20" ht="20">
      <c r="B11" s="69" t="s">
        <v>91</v>
      </c>
    </row>
    <row r="12" spans="2:20" ht="16">
      <c r="B12" s="70" t="s">
        <v>182</v>
      </c>
      <c r="C12" s="70"/>
      <c r="D12" s="70"/>
      <c r="E12" s="70"/>
      <c r="I12" s="70"/>
      <c r="J12" s="70"/>
      <c r="K12" s="70"/>
      <c r="L12" s="70"/>
      <c r="M12" s="70"/>
    </row>
    <row r="13" spans="2:20" ht="16">
      <c r="B13" s="70" t="s">
        <v>183</v>
      </c>
      <c r="C13" s="70"/>
      <c r="D13" s="70"/>
      <c r="E13" s="70"/>
    </row>
    <row r="15" spans="2:20" ht="20">
      <c r="B15" s="69" t="s">
        <v>92</v>
      </c>
      <c r="I15" s="70"/>
      <c r="J15" s="70"/>
      <c r="K15" s="70"/>
      <c r="L15" s="70"/>
      <c r="M15" s="70"/>
    </row>
    <row r="16" spans="2:20" ht="16">
      <c r="B16" s="70" t="s">
        <v>184</v>
      </c>
      <c r="C16" s="70"/>
      <c r="D16" s="70"/>
      <c r="E16" s="70"/>
    </row>
    <row r="18" spans="2:13" ht="20">
      <c r="B18" s="69" t="s">
        <v>93</v>
      </c>
      <c r="I18" s="70"/>
      <c r="J18" s="70"/>
      <c r="K18" s="70"/>
      <c r="L18" s="70"/>
      <c r="M18" s="70"/>
    </row>
    <row r="19" spans="2:13" ht="16">
      <c r="B19" s="71" t="s">
        <v>185</v>
      </c>
      <c r="C19" s="70"/>
      <c r="D19" s="70"/>
      <c r="E19" s="70"/>
    </row>
    <row r="21" spans="2:13" ht="20">
      <c r="B21" s="69" t="s">
        <v>94</v>
      </c>
      <c r="F21" s="71"/>
      <c r="G21" s="71"/>
      <c r="H21" s="71"/>
      <c r="I21" s="71"/>
      <c r="J21" s="71"/>
      <c r="K21" s="71"/>
      <c r="L21" s="71"/>
      <c r="M21" s="71"/>
    </row>
    <row r="22" spans="2:13" ht="16">
      <c r="B22" s="71" t="s">
        <v>95</v>
      </c>
      <c r="C22" s="70"/>
      <c r="D22" s="70"/>
      <c r="E22" s="70"/>
    </row>
  </sheetData>
  <sheetProtection algorithmName="SHA-512" hashValue="R2RU+hr3GwiCBA5vFYAJUM5k4ojjkXBFIHy8ZLdIfQr/4MuaDzqkDYVWis7im+2a9E885ESe2+cPJUHyvjjkqA==" saltValue="srQTye/nFkjs45gPKOj5lA==" spinCount="100000" sheet="1" objects="1" scenarios="1"/>
  <mergeCells count="1">
    <mergeCell ref="B7:E7"/>
  </mergeCells>
  <hyperlinks>
    <hyperlink ref="B19" r:id="rId1" xr:uid="{F7C3E579-1911-994A-BCBC-6990CF96D2C9}"/>
    <hyperlink ref="F21:M21" r:id="rId2" display="extension.sdstate.edu " xr:uid="{503365DB-0E05-7640-BD92-658D65762162}"/>
  </hyperlinks>
  <pageMargins left="0.7" right="0.7" top="0.75" bottom="0.75" header="0.3" footer="0.3"/>
  <pageSetup scale="65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28</vt:i4>
      </vt:variant>
    </vt:vector>
  </HeadingPairs>
  <TitlesOfParts>
    <vt:vector size="34" baseType="lpstr">
      <vt:lpstr>Read Me</vt:lpstr>
      <vt:lpstr>10-9-2015 prices sources</vt:lpstr>
      <vt:lpstr>Cow Herd Description</vt:lpstr>
      <vt:lpstr>Production Expenses</vt:lpstr>
      <vt:lpstr>Analysis</vt:lpstr>
      <vt:lpstr>Contact</vt:lpstr>
      <vt:lpstr>AvgCowInvest</vt:lpstr>
      <vt:lpstr>AvgCowValue</vt:lpstr>
      <vt:lpstr>Bull_Invest_per_cow</vt:lpstr>
      <vt:lpstr>Bull_Life</vt:lpstr>
      <vt:lpstr>BullValue</vt:lpstr>
      <vt:lpstr>CowOwnerInvestment</vt:lpstr>
      <vt:lpstr>CowSalvageValue</vt:lpstr>
      <vt:lpstr>Cull_Bull_Value</vt:lpstr>
      <vt:lpstr>HeiferPrice</vt:lpstr>
      <vt:lpstr>HeiferWt</vt:lpstr>
      <vt:lpstr>InterestRate</vt:lpstr>
      <vt:lpstr>NumberBulls</vt:lpstr>
      <vt:lpstr>NumberCows</vt:lpstr>
      <vt:lpstr>OperaterContribution</vt:lpstr>
      <vt:lpstr>OperatingExpense</vt:lpstr>
      <vt:lpstr>OperatorShare</vt:lpstr>
      <vt:lpstr>OwnerContribution</vt:lpstr>
      <vt:lpstr>OwnerShare</vt:lpstr>
      <vt:lpstr>Analysis!Print_Area</vt:lpstr>
      <vt:lpstr>Contact!Print_Area</vt:lpstr>
      <vt:lpstr>'Cow Herd Description'!Print_Area</vt:lpstr>
      <vt:lpstr>'Production Expenses'!Print_Area</vt:lpstr>
      <vt:lpstr>'Read Me'!Print_Area</vt:lpstr>
      <vt:lpstr>ReplacementRate</vt:lpstr>
      <vt:lpstr>SteerPrice</vt:lpstr>
      <vt:lpstr>SteerWt</vt:lpstr>
      <vt:lpstr>TotalContribute</vt:lpstr>
      <vt:lpstr>WeanPercent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SDSU Extension Beef Cattle Enterprise Budgets</dc:title>
  <dc:subject/>
  <dc:creator>Heather Gessner</dc:creator>
  <cp:keywords/>
  <dc:description/>
  <cp:lastModifiedBy>Moorse, Kira</cp:lastModifiedBy>
  <cp:lastPrinted>2022-05-06T13:14:26Z</cp:lastPrinted>
  <dcterms:created xsi:type="dcterms:W3CDTF">2006-01-17T20:26:47Z</dcterms:created>
  <dcterms:modified xsi:type="dcterms:W3CDTF">2026-01-16T22:05:26Z</dcterms:modified>
  <cp:category/>
</cp:coreProperties>
</file>